
<file path=[Content_Types].xml><?xml version="1.0" encoding="utf-8"?>
<Types xmlns="http://schemas.openxmlformats.org/package/2006/content-types">
  <Default Extension="xml" ContentType="application/xml"/>
  <Default Extension="jpeg" ContentType="image/jpeg"/>
  <Default Extension="jpg" ContentType="image/jpeg"/>
  <Default Extension="emf" ContentType="image/x-emf"/>
  <Default Extension="rels" ContentType="application/vnd.openxmlformats-package.relationships+xml"/>
  <Default Extension="bin" ContentType="application/vnd.ms-office.vbaProject"/>
  <Default Extension="png" ContentType="image/p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705" codeName="{7A2D7E96-6E34-419A-AE5F-296B3A7E7977}"/>
  <workbookPr showInkAnnotation="0" codeName="ThisWorkbook" autoCompressPictures="0"/>
  <workbookProtection workbookPassword="CDF2" lockStructure="1"/>
  <bookViews>
    <workbookView xWindow="32040" yWindow="620" windowWidth="29620" windowHeight="18440" tabRatio="833" activeTab="7"/>
  </bookViews>
  <sheets>
    <sheet name="Mode d'emploi " sheetId="24" r:id="rId1"/>
    <sheet name="Associer son colza" sheetId="5" r:id="rId2"/>
    <sheet name="Données à renseigner" sheetId="2" r:id="rId3"/>
    <sheet name="Services à renseigner" sheetId="11" r:id="rId4"/>
    <sheet name="Evaluation" sheetId="29" state="hidden" r:id="rId5"/>
    <sheet name="RDD" sheetId="30" state="hidden" r:id="rId6"/>
    <sheet name="Menus déroulants" sheetId="26" state="hidden" r:id="rId7"/>
    <sheet name="Espèces" sheetId="28" r:id="rId8"/>
    <sheet name="Resultats" sheetId="19" r:id="rId9"/>
    <sheet name="Traitement_resultats" sheetId="41" state="hidden" r:id="rId10"/>
    <sheet name="Exporter" sheetId="32" r:id="rId11"/>
    <sheet name="Melange" sheetId="39" state="hidden" r:id="rId12"/>
    <sheet name="Votre avis" sheetId="40" r:id="rId13"/>
  </sheets>
  <definedNames>
    <definedName name="_xlnm._FilterDatabase" localSheetId="2" hidden="1">'Données à renseigner'!$A$1:$E$32</definedName>
    <definedName name="_xlnm._FilterDatabase" localSheetId="8" hidden="1">Traitement_resultats!$B$26:$L$37</definedName>
    <definedName name="A">Melange!$H$4</definedName>
    <definedName name="Adequation_PS_pH_Sol">RDD!$D$144:$E$153</definedName>
    <definedName name="adventices">'Associer son colza'!$D$225:$F$252</definedName>
    <definedName name="Allelopathie_PS">Espèces!$59:$59</definedName>
    <definedName name="Amplification_maladies_melange">Melange!$K$5</definedName>
    <definedName name="Amplification_maladies_PS">Espèces!$60:$60</definedName>
    <definedName name="Appetence_limaces_PS">Espèces!$61:$61</definedName>
    <definedName name="Azote">'Associer son colza'!$E$194:$G$218</definedName>
    <definedName name="Biomasse">#REF!</definedName>
    <definedName name="Biomasse_morte_contact_sol_PS">Espèces!$50:$50</definedName>
    <definedName name="Biomasse_PS">Evaluation!$179:$179</definedName>
    <definedName name="Capacite_germination_orobanche_PS">Espèces!$62:$62</definedName>
    <definedName name="Classes_Adequation_PS_PH_Sol">'Menus déroulants'!$K$3:$K$4</definedName>
    <definedName name="Classes_Alimentation_Azotee_PS">'Menus déroulants'!$M$3:$M$5</definedName>
    <definedName name="Classes_Allelopathie_PS">'Menus déroulants'!$A$19:$A$20</definedName>
    <definedName name="Classes_amplification_maladies_PS">'Menus déroulants'!$V$19:$V$20</definedName>
    <definedName name="Classes_Appetence_Limaces_PS">'Menus déroulants'!$H$19:$H$21</definedName>
    <definedName name="Classes_biomasse_morte_contact_sol_PS">'Menus déroulants'!$Q$19:$Q$21</definedName>
    <definedName name="Classes_Biomasse_PS">'Menus déroulants'!$A$3:$A$7</definedName>
    <definedName name="Classes_capacite_germination_orobanche_PS">'Menus déroulants'!$R$19:$R$20</definedName>
    <definedName name="Classes_Competition_Azote_PS">'Menus déroulants'!$G$3:$G$6</definedName>
    <definedName name="Classes_Competition_Colza_PS">'Menus déroulants'!$D$3:$D$5</definedName>
    <definedName name="Classes_Competition_exercee_PS">'Menus déroulants'!$C$3:$C$6</definedName>
    <definedName name="Classes_Competition_lumiere">'Menus déroulants'!$F$3:$F$6</definedName>
    <definedName name="Classes_Conditions_Implantation">'Menus déroulants'!$H$3:$H$5</definedName>
    <definedName name="Classes_configuration_systeme_racinaire">'Menus déroulants'!$M$19:$M$21</definedName>
    <definedName name="Classes_configuration_systeme_racinaire_PS">'Menus déroulants'!$M$19:$M$21</definedName>
    <definedName name="Classes_Date_semis">'Menus déroulants'!$F$11:$F$14</definedName>
    <definedName name="Classes_Deficit_hydrique">'Menus déroulants'!$C$11:$C$13</definedName>
    <definedName name="Classes_Degats_Limaces">'Menus déroulants'!$J$3:$J$5</definedName>
    <definedName name="Classes_Disponibilite_N_Semis">'Menus déroulants'!$B$11:$B$13</definedName>
    <definedName name="Classes_facteur_limitant_sol">'Menus déroulants'!$I$11:$I$12</definedName>
    <definedName name="Classes_fraction_soluble">'Menus déroulants'!$K$19:$K$21</definedName>
    <definedName name="Classes_fraction_soluble_PS">'Menus déroulants'!$K$19:$K$21</definedName>
    <definedName name="Classes_frequence_gel">'Menus déroulants'!$H$11:$H$13</definedName>
    <definedName name="Classes_Hauteur_PS">'Menus déroulants'!$B$19:$B$21</definedName>
    <definedName name="Classes_Infestation_Adventices">'Menus déroulants'!$A$11:$A$13</definedName>
    <definedName name="Classes_interet_fourrager_PS">'Menus déroulants'!$U$19:$U$20</definedName>
    <definedName name="Classes_longueur_cycle_PS">'Menus déroulants'!$S$19:$S$21</definedName>
    <definedName name="classes_mode_destruction">'Menus déroulants'!$K$11:$K$12</definedName>
    <definedName name="Classes_nectar_extrafloral_PS">'Menus déroulants'!$P$19:$P$20</definedName>
    <definedName name="Classes_Nitrophilie_PS">'Menus déroulants'!$E$19:$E$21</definedName>
    <definedName name="Classes_odeur_PS">'Menus déroulants'!$N$19:$N$20</definedName>
    <definedName name="Classes_pH_Sol">'Menus déroulants'!$E$11:$E$13</definedName>
    <definedName name="Classes_Potentiel_Production_Biomasse_PS">'Menus déroulants'!$B$3:$B$5</definedName>
    <definedName name="Classes_precocite_PS">'Menus déroulants'!$O$19:$O$21</definedName>
    <definedName name="Classes_Preference_PH_PS">'Menus déroulants'!$I$19:$I$21</definedName>
    <definedName name="Classes_presence_orobanche">'Menus déroulants'!$G$11:$G$12</definedName>
    <definedName name="Classes_profondeur_systeme_racinaire_PS">'Menus déroulants'!$L$19:$L$21</definedName>
    <definedName name="Classes_PS_Fixatrice_N">'Menus déroulants'!$F$19:$F$20</definedName>
    <definedName name="Classes_reliquat_semis">'Menus déroulants'!$O$3:$O$5</definedName>
    <definedName name="Classes_resistance_herbicide">'Menus déroulants'!$X$19:$X$22</definedName>
    <definedName name="Classes_Resistance_Secheresse_PS">'Menus déroulants'!$G$19:$G$21</definedName>
    <definedName name="Classes_Ressources_Croissance_PS">'Menus déroulants'!$L$3:$L$6</definedName>
    <definedName name="Classes_risque_Limaces_Parcelle">'Menus déroulants'!$D$11:$D$13</definedName>
    <definedName name="Classes_Risque_Secheresse">'Menus déroulants'!$I$3:$I$5</definedName>
    <definedName name="Classes_sensibilite_gel_PS">'Menus déroulants'!$T$19:$T$22</definedName>
    <definedName name="Classes_Surface_Feuille_PS">'Menus déroulants'!$D$19:$D$21</definedName>
    <definedName name="Classes_Temperature_Rayonnement">'Menus déroulants'!$N$3:$N$6</definedName>
    <definedName name="Classes_Teneur_N_PS">'Menus déroulants'!$J$19:$J$21</definedName>
    <definedName name="Classes_tenue_tige_PS">'Menus déroulants'!$W$19:$W$20</definedName>
    <definedName name="Classes_Traits_PS_Competition">'Menus déroulants'!$E$3:$E$6</definedName>
    <definedName name="classes_type_flore">'Menus déroulants'!$J$11:$J$13</definedName>
    <definedName name="Classes_Vitesse_Croissance_PS">'Menus déroulants'!$C$19:$C$21</definedName>
    <definedName name="Colza_TPS_elongation">'Données à renseigner'!$E$69:$E$71</definedName>
    <definedName name="Competition_azote">Evaluation!$20:$20</definedName>
    <definedName name="Configuration_systeme_racinaire">Espèces!$42:$42</definedName>
    <definedName name="Configuration_systeme_racinaire_PS">Espèces!$42:$42</definedName>
    <definedName name="Cout_semences">Espèces!$28:$28</definedName>
    <definedName name="Date_de_Semis" localSheetId="6">#REF!</definedName>
    <definedName name="date_semis">'Données à renseigner'!$E$27</definedName>
    <definedName name="Deficit_Hydrique" localSheetId="6">#REF!</definedName>
    <definedName name="Deficit_hydrique">'Données à renseigner'!$E$5</definedName>
    <definedName name="Densite_semis">Espèces!$29:$29</definedName>
    <definedName name="Département">'Associer son colza'!$A$95:$D$189</definedName>
    <definedName name="Disponibilite_N_semis">'Données à renseigner'!$E$21</definedName>
    <definedName name="Especes">Espèces!$41:$41</definedName>
    <definedName name="Especes_dans_melange">Resultats!$V$3:$V$18</definedName>
    <definedName name="Facteur_limitant_sol">'Données à renseigner'!$E$8</definedName>
    <definedName name="Fiche_Avoine_Noire">Espèces!$B$70:$J$86</definedName>
    <definedName name="Fiche_Avoine_Rude">Espèces!$B$88:$J$104</definedName>
    <definedName name="Fiche_Cameline">Espèces!$B$106:$J$122</definedName>
    <definedName name="Fiche_Fenugrec">Espèces!$B$124:$J$140</definedName>
    <definedName name="Fiche_Feverole_de_printemps">Espèces!$B$142:$J$158</definedName>
    <definedName name="Fiche_Gesse">Espèces!$B$160:$J$176</definedName>
    <definedName name="Fiche_Lentille_fourragère">Espèces!$B$178:$J$194</definedName>
    <definedName name="Fiche_Lin_Graine_de_printemps">Espèces!$B$196:$J$212</definedName>
    <definedName name="Fiche_Luzerne">Espèces!$B$214:$J$230</definedName>
    <definedName name="Fiche_Navette_fourragère">Espèces!$B$232:$J$248</definedName>
    <definedName name="Fiche_Nyger">Espèces!$B$250:$J$266</definedName>
    <definedName name="Fiche_Phacelie">Espèces!$B$268:$J$284</definedName>
    <definedName name="Fiche_Pois_fourrager_de_printemps">Espèces!$B$286:$J$302</definedName>
    <definedName name="Fiche_Pois_protéagineux">Espèces!$B$304:$J$320</definedName>
    <definedName name="Fiche_Sarrasin">Espèces!$B$376:$J$392</definedName>
    <definedName name="Fiche_Tournesol">Espèces!$B$322:$J$338</definedName>
    <definedName name="Fiche_Trefle_blanc_nain">Espèces!$B$358:$J$374</definedName>
    <definedName name="Fiche_Trefle_d_alexandrie_type_TABOR">Espèces!$B$340:$J$356</definedName>
    <definedName name="Fiche_Vesce_commune_de_printemps">Espèces!$B$394:$J$410</definedName>
    <definedName name="Fiche_Vesce_pourpre">Espèces!$B$412:$J$428</definedName>
    <definedName name="Fraction_soluble_PS">Espèces!$51:$51</definedName>
    <definedName name="Frequence_de_gel">'Données à renseigner'!$E$73:$E$76</definedName>
    <definedName name="Frequence_gel">'Données à renseigner'!$E$2</definedName>
    <definedName name="GEL">Resultats!$G$67:$H$69</definedName>
    <definedName name="Hauteur_PS">Espèces!$43:$43</definedName>
    <definedName name="Infestation_adventices" localSheetId="6">#REF!</definedName>
    <definedName name="Infestation_adventices">'Données à renseigner'!$E$13</definedName>
    <definedName name="Interet_fourrager_PS">Espèces!$65:$65</definedName>
    <definedName name="Longueur_cycle_PS">Espèces!$57:$57</definedName>
    <definedName name="mode" localSheetId="8">Resultats!#REF!</definedName>
    <definedName name="Mode_de_destruction">'Données à renseigner'!$B$78:$C$80</definedName>
    <definedName name="Mode_destruction">'Données à renseigner'!$E$31</definedName>
    <definedName name="Nectar_extrafloral_PS">Espèces!$64:$64</definedName>
    <definedName name="Nitrophilie_PS">Espèces!$52:$52</definedName>
    <definedName name="Note_finale">'Associer son colza'!$D$257:$F$292</definedName>
    <definedName name="Odeur_PS">Espèces!$63:$63</definedName>
    <definedName name="Orobanche">#REF!</definedName>
    <definedName name="pH_Sol" localSheetId="6">#REF!</definedName>
    <definedName name="ph_sol">'Données à renseigner'!$E$24</definedName>
    <definedName name="Potentiel_Production_Biomasse">#REF!</definedName>
    <definedName name="Potentiel_production_biomasse_PS">Espèces!$44:$44</definedName>
    <definedName name="Precocite_PS">Espèces!$58:$58</definedName>
    <definedName name="preference_PH_PS">Espèces!$53:$53</definedName>
    <definedName name="Presence_orobanche">'Données à renseigner'!$E$19</definedName>
    <definedName name="Pression_adventices">'Associer son colza'!$D$225:$E$252</definedName>
    <definedName name="Profondeur_systeme_racinaire_PS">Espèces!$45:$45</definedName>
    <definedName name="PS_fixatrice_N">Espèces!$54:$54</definedName>
    <definedName name="RDD_">RDD!#REF!</definedName>
    <definedName name="RDD_accumulation_azote">RDD!$E$897:$F$941</definedName>
    <definedName name="RDD_adequation_PS_PH_Sol">RDD!$D$145:$E$153</definedName>
    <definedName name="RDD_Adventices">'Associer son colza'!$D$222:$E$224</definedName>
    <definedName name="RDD_Alimentation_Azotee_PS">RDD!$D$156:$E$161</definedName>
    <definedName name="RDD_augmentation_mineralisation_sol">RDD!$D$717:$E$731</definedName>
    <definedName name="RDD_auxiliaire_sol">RDD!$B$647:$C$651</definedName>
    <definedName name="RDD_auxiliaire_volant">RDD!$D$654:$E$659</definedName>
    <definedName name="RDD_azote">'Associer son colza'!$E$191:$F$193</definedName>
    <definedName name="RDD_azote2">'Associer son colza'!$F$191:$H$193</definedName>
    <definedName name="RDD_azote3">RDD!$D$1021:$E$1055</definedName>
    <definedName name="RDD_Biomasse_PS">RDD!$F$198:$G$341</definedName>
    <definedName name="RDD_competition_automne">RDD!$E$362:$F$401</definedName>
    <definedName name="RDD_competition_azote">RDD!$E$2:$F$19</definedName>
    <definedName name="RDD_Competition_exercee_PS">RDD!$E$85:$F$120</definedName>
    <definedName name="RDD_competition_lumiere">RDD!$E$22:$F$48</definedName>
    <definedName name="RDD_conditions_implantation">RDD!$E$178:$F$195</definedName>
    <definedName name="RDD_degats_limaces">RDD!$D$134:$E$142</definedName>
    <definedName name="RDD_destruction_par_gel">RDD!$D$404:$E$415</definedName>
    <definedName name="RDD_destruction_PS">RDD!$D$418:$E$423</definedName>
    <definedName name="RDD_Destruction_sortie_hiver">Resultats!$G$39:$M$41</definedName>
    <definedName name="RDD_detourner_limaces">RDD!$D$705:$E$713</definedName>
    <definedName name="RDD_disponibilite_physicochimique_azote">RDD!$E$860:$F$886</definedName>
    <definedName name="RDD_effet_competition_plante_vivante">RDD!$D$531:$E$550</definedName>
    <definedName name="RDD_effet_mulch_PS_gelee">RDD!$D$514:$E$528</definedName>
    <definedName name="RDD_facilitation_absorption_azote">RDD!$E$794:$F$857</definedName>
    <definedName name="RDD_favoriser_auxiliaires">RDD!$D$662:$E$670</definedName>
    <definedName name="RDD_fixation_symbiotique">RDD!$D$889:$E$894</definedName>
    <definedName name="RDD_mineralisation_residus_PS">RDD!$E$944:$F$1018</definedName>
    <definedName name="RDD_note_finale">'Associer son colza'!$D$254:$E$256</definedName>
    <definedName name="RDD_perturber_insectes_automne">RDD!$E$673:$F$702</definedName>
    <definedName name="RDD_puissance_systeme_racinaire">RDD!$D$751:$E$759</definedName>
    <definedName name="RDD_recolte_fourrage">RDD!$E$426:$F$443</definedName>
    <definedName name="RDD_recolte_grain_automne">RDD!$E$462:$F$497</definedName>
    <definedName name="RDD_recolte_grain_ete">RDD!$D$446:$E$454</definedName>
    <definedName name="RDD_regulation_adventices_automne">RDD!$D$630:$E$644</definedName>
    <definedName name="RDD_regulation_adventices_printemps">RDD!$E$553:$F$627</definedName>
    <definedName name="RDD_regulation_microclimat">RDD!$D$734:$E$748</definedName>
    <definedName name="RDD_regulation_orobanche">RDD!$D$500:$E$503</definedName>
    <definedName name="RDD_reliquat_semis">RDD!$B$457:$C$459</definedName>
    <definedName name="RDD_Ressources_croissance">RDD!$D$164:$E$175</definedName>
    <definedName name="RDD_Ressources_croissance_PS">RDD!$D$164:$E$175</definedName>
    <definedName name="RDD_risque_secheresse">RDD!$D$123:$E$131</definedName>
    <definedName name="RDD_semis">'Associer son colza'!$D$51:$E$54</definedName>
    <definedName name="RDD_structuration_sol">RDD!$E$762:$F$791</definedName>
    <definedName name="RDD_Temperature_rayonnement">RDD!$D$344:$E$359</definedName>
    <definedName name="RDD_temperature8rayonnement">RDD!$E$197</definedName>
    <definedName name="RDD_traits_PS_competition">RDD!$E$51:$F$82</definedName>
    <definedName name="RDD_traits_PS_effet_mulch">RDD!$D$506:$E$511</definedName>
    <definedName name="region_Dsemis">'Associer son colza'!$C$56:$E$92</definedName>
    <definedName name="Resistance_herbicide">Espèces!$66:$66</definedName>
    <definedName name="resistance_secheresse_PS">Espèces!$56:$56</definedName>
    <definedName name="Resultat_adventices_automne">Evaluation!$84:$84</definedName>
    <definedName name="Resultat_adventices_printemps">Evaluation!$98:$98</definedName>
    <definedName name="Resultat_amplification_maladies">Evaluation!$144:$144</definedName>
    <definedName name="Resultat_auxiliaires">Evaluation!$78:$78</definedName>
    <definedName name="Resultat_azote">Evaluation!$41:$41</definedName>
    <definedName name="Resultat_biomasse">Evaluation!$8:$8</definedName>
    <definedName name="Resultat_competition_automne">Evaluation!$145:$145</definedName>
    <definedName name="Resultat_destruction_gel">Evaluation!$54:$54</definedName>
    <definedName name="Resultat_destruction_PS">Evaluation!$53:$53</definedName>
    <definedName name="Resultat_insectes_automne">Evaluation!$74:$74</definedName>
    <definedName name="Resultat_limaces">Evaluation!$71:$71</definedName>
    <definedName name="Resultat_orobanche">Evaluation!$121:$121</definedName>
    <definedName name="Resultat_recolte_fourrage">Evaluation!$136:$136</definedName>
    <definedName name="Resultat_recolte_grain_automne">Evaluation!$124:$124</definedName>
    <definedName name="Resultat_recolte_grain_ete">Evaluation!$129:$129</definedName>
    <definedName name="resultats_services">#REF!</definedName>
    <definedName name="Risque_limaces_parcelle">'Données à renseigner'!$E$10</definedName>
    <definedName name="Sensibilite_gel_PS">Espèces!$55:$55</definedName>
    <definedName name="Surface_feuille_PS">Espèces!$46:$46</definedName>
    <definedName name="TAB">Traitement_resultats!$A$27:$AB$46</definedName>
    <definedName name="tab_melanges">Resultats!$A$3:$W$28</definedName>
    <definedName name="tableau_des_especes">Espèces!$3:$30</definedName>
    <definedName name="Teneur_N_PS">Espèces!$47:$47</definedName>
    <definedName name="Tenue_tige_PS">Espèces!$48:$48</definedName>
    <definedName name="Type_de_flore">'Données à renseigner'!$E$58:$E$61</definedName>
    <definedName name="Type_flore">'Données à renseigner'!$E$16</definedName>
    <definedName name="Vitesse_croissance_PS">Espèces!$49:$49</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V7" i="29" l="1"/>
  <c r="V41" i="28"/>
  <c r="U7" i="29"/>
  <c r="T7" i="29"/>
  <c r="S7" i="29"/>
  <c r="S41" i="28"/>
  <c r="R7" i="29"/>
  <c r="Q7" i="29"/>
  <c r="P7" i="29"/>
  <c r="O7" i="29"/>
  <c r="N7" i="29"/>
  <c r="M7" i="29"/>
  <c r="Z20" i="41"/>
  <c r="Y20" i="41"/>
  <c r="X20" i="41"/>
  <c r="W20" i="41"/>
  <c r="F95" i="41"/>
  <c r="B95" i="41"/>
  <c r="F85" i="41"/>
  <c r="B85" i="41"/>
  <c r="G41" i="28"/>
  <c r="B92" i="41"/>
  <c r="B90" i="41"/>
  <c r="B91" i="41"/>
  <c r="B93" i="41"/>
  <c r="C92" i="41"/>
  <c r="C90" i="41"/>
  <c r="C91" i="41"/>
  <c r="C93" i="41"/>
  <c r="D92" i="41"/>
  <c r="D90" i="41"/>
  <c r="D91" i="41"/>
  <c r="D93" i="41"/>
  <c r="B94" i="41"/>
  <c r="Z19" i="41"/>
  <c r="B82" i="41"/>
  <c r="B80" i="41"/>
  <c r="B81" i="41"/>
  <c r="B83" i="41"/>
  <c r="C82" i="41"/>
  <c r="C80" i="41"/>
  <c r="C81" i="41"/>
  <c r="C83" i="41"/>
  <c r="D82" i="41"/>
  <c r="D80" i="41"/>
  <c r="D81" i="41"/>
  <c r="D83" i="41"/>
  <c r="B84" i="41"/>
  <c r="Y19" i="41"/>
  <c r="F82" i="41"/>
  <c r="F80" i="41"/>
  <c r="F81" i="41"/>
  <c r="F83" i="41"/>
  <c r="G82" i="41"/>
  <c r="G80" i="41"/>
  <c r="G81" i="41"/>
  <c r="G83" i="41"/>
  <c r="H82" i="41"/>
  <c r="H80" i="41"/>
  <c r="H81" i="41"/>
  <c r="H83" i="41"/>
  <c r="F84" i="41"/>
  <c r="X19" i="41"/>
  <c r="F92" i="41"/>
  <c r="F90" i="41"/>
  <c r="F91" i="41"/>
  <c r="F93" i="41"/>
  <c r="G92" i="41"/>
  <c r="G90" i="41"/>
  <c r="G91" i="41"/>
  <c r="G93" i="41"/>
  <c r="F94" i="41"/>
  <c r="W19" i="41"/>
  <c r="E20" i="41"/>
  <c r="H20" i="41"/>
  <c r="F20" i="41"/>
  <c r="B3" i="41"/>
  <c r="B22" i="41"/>
  <c r="C3" i="41"/>
  <c r="C22" i="41"/>
  <c r="D3" i="41"/>
  <c r="D22" i="41"/>
  <c r="E3" i="41"/>
  <c r="E22" i="41"/>
  <c r="F3" i="41"/>
  <c r="F22" i="41"/>
  <c r="G3" i="41"/>
  <c r="G22" i="41"/>
  <c r="H3" i="41"/>
  <c r="H22" i="41"/>
  <c r="I3" i="41"/>
  <c r="I22" i="41"/>
  <c r="J3" i="41"/>
  <c r="J22" i="41"/>
  <c r="K3" i="41"/>
  <c r="K22" i="41"/>
  <c r="L3" i="41"/>
  <c r="L22" i="41"/>
  <c r="M3" i="41"/>
  <c r="M22" i="41"/>
  <c r="N3" i="41"/>
  <c r="N22" i="41"/>
  <c r="O3" i="41"/>
  <c r="O22" i="41"/>
  <c r="P3" i="41"/>
  <c r="P22" i="41"/>
  <c r="Q3" i="41"/>
  <c r="Q22" i="41"/>
  <c r="R3" i="41"/>
  <c r="R22" i="41"/>
  <c r="S3" i="41"/>
  <c r="S22" i="41"/>
  <c r="T3" i="41"/>
  <c r="T22" i="41"/>
  <c r="U3" i="41"/>
  <c r="U22" i="41"/>
  <c r="V3" i="41"/>
  <c r="V22" i="41"/>
  <c r="B24" i="41"/>
  <c r="C24" i="41"/>
  <c r="D24" i="41"/>
  <c r="E24" i="41"/>
  <c r="F24" i="41"/>
  <c r="G24" i="41"/>
  <c r="H24" i="41"/>
  <c r="I24" i="41"/>
  <c r="J24" i="41"/>
  <c r="K24" i="41"/>
  <c r="L24" i="41"/>
  <c r="M24" i="41"/>
  <c r="N24" i="41"/>
  <c r="O24" i="41"/>
  <c r="P24" i="41"/>
  <c r="Q24" i="41"/>
  <c r="R24" i="41"/>
  <c r="S24" i="41"/>
  <c r="T24" i="41"/>
  <c r="U24" i="41"/>
  <c r="V24" i="41"/>
  <c r="E26" i="41"/>
  <c r="H28" i="19"/>
  <c r="V16" i="41"/>
  <c r="B57" i="29"/>
  <c r="E2" i="2"/>
  <c r="B55" i="29"/>
  <c r="B56" i="29"/>
  <c r="B54" i="29"/>
  <c r="B53" i="29"/>
  <c r="B16" i="41"/>
  <c r="C57" i="29"/>
  <c r="C55" i="29"/>
  <c r="C56" i="29"/>
  <c r="C54" i="29"/>
  <c r="C53" i="29"/>
  <c r="C16" i="41"/>
  <c r="D57" i="29"/>
  <c r="D55" i="29"/>
  <c r="D56" i="29"/>
  <c r="D54" i="29"/>
  <c r="D53" i="29"/>
  <c r="D16" i="41"/>
  <c r="E57" i="29"/>
  <c r="E55" i="29"/>
  <c r="E56" i="29"/>
  <c r="E54" i="29"/>
  <c r="E53" i="29"/>
  <c r="E16" i="41"/>
  <c r="F57" i="29"/>
  <c r="F55" i="29"/>
  <c r="F56" i="29"/>
  <c r="F54" i="29"/>
  <c r="F53" i="29"/>
  <c r="F16" i="41"/>
  <c r="G57" i="29"/>
  <c r="G55" i="29"/>
  <c r="G56" i="29"/>
  <c r="G54" i="29"/>
  <c r="G53" i="29"/>
  <c r="G16" i="41"/>
  <c r="H57" i="29"/>
  <c r="H55" i="29"/>
  <c r="H56" i="29"/>
  <c r="H54" i="29"/>
  <c r="H53" i="29"/>
  <c r="H16" i="41"/>
  <c r="I57" i="29"/>
  <c r="I55" i="29"/>
  <c r="I56" i="29"/>
  <c r="I54" i="29"/>
  <c r="I53" i="29"/>
  <c r="I16" i="41"/>
  <c r="J57" i="29"/>
  <c r="J55" i="29"/>
  <c r="J56" i="29"/>
  <c r="J54" i="29"/>
  <c r="J53" i="29"/>
  <c r="J16" i="41"/>
  <c r="K57" i="29"/>
  <c r="K55" i="29"/>
  <c r="K56" i="29"/>
  <c r="K54" i="29"/>
  <c r="K53" i="29"/>
  <c r="K16" i="41"/>
  <c r="AA16" i="41" a="1"/>
  <c r="AA16" i="41"/>
  <c r="H4" i="19"/>
  <c r="H5" i="19"/>
  <c r="H6" i="19"/>
  <c r="H7" i="19"/>
  <c r="H8" i="19"/>
  <c r="H9" i="19"/>
  <c r="H10" i="19"/>
  <c r="H11" i="19"/>
  <c r="H12" i="19"/>
  <c r="H13" i="19"/>
  <c r="H14" i="19"/>
  <c r="H15" i="19"/>
  <c r="H16" i="19"/>
  <c r="H17" i="19"/>
  <c r="H18" i="19"/>
  <c r="H19" i="19"/>
  <c r="H20" i="19"/>
  <c r="H21" i="19"/>
  <c r="H22" i="19"/>
  <c r="H23" i="19"/>
  <c r="H24" i="19"/>
  <c r="H25" i="19"/>
  <c r="H26" i="19"/>
  <c r="H27" i="19"/>
  <c r="H3" i="19"/>
  <c r="W3" i="19"/>
  <c r="W4" i="19"/>
  <c r="W5" i="19"/>
  <c r="W6" i="19"/>
  <c r="W7" i="19"/>
  <c r="W8" i="19"/>
  <c r="W9" i="19"/>
  <c r="W10" i="19"/>
  <c r="W11" i="19"/>
  <c r="W12" i="19"/>
  <c r="W13" i="19"/>
  <c r="W14" i="19"/>
  <c r="W15" i="19"/>
  <c r="W16" i="19"/>
  <c r="W17" i="19"/>
  <c r="W18" i="19"/>
  <c r="W19" i="19"/>
  <c r="W20" i="19"/>
  <c r="W21" i="19"/>
  <c r="W22" i="19"/>
  <c r="W23" i="19"/>
  <c r="W24" i="19"/>
  <c r="W25" i="19"/>
  <c r="W26" i="19"/>
  <c r="W27" i="19"/>
  <c r="W28" i="19"/>
  <c r="B2" i="39"/>
  <c r="U3" i="19"/>
  <c r="V3" i="19"/>
  <c r="U4" i="19"/>
  <c r="V4" i="19"/>
  <c r="U5" i="19"/>
  <c r="V5" i="19"/>
  <c r="U6" i="19"/>
  <c r="V6" i="19"/>
  <c r="U7" i="19"/>
  <c r="V7" i="19"/>
  <c r="U8" i="19"/>
  <c r="V8" i="19"/>
  <c r="U9" i="19"/>
  <c r="V9" i="19"/>
  <c r="U10" i="19"/>
  <c r="V10" i="19"/>
  <c r="U11" i="19"/>
  <c r="V11" i="19"/>
  <c r="U12" i="19"/>
  <c r="V12" i="19"/>
  <c r="U13" i="19"/>
  <c r="V13" i="19"/>
  <c r="U14" i="19"/>
  <c r="V14" i="19"/>
  <c r="U15" i="19"/>
  <c r="V15" i="19"/>
  <c r="U16" i="19"/>
  <c r="V16" i="19"/>
  <c r="U17" i="19"/>
  <c r="V17" i="19"/>
  <c r="U18" i="19"/>
  <c r="V18" i="19"/>
  <c r="U19" i="19"/>
  <c r="V19" i="19"/>
  <c r="U20" i="19"/>
  <c r="V20" i="19"/>
  <c r="U21" i="19"/>
  <c r="V21" i="19"/>
  <c r="U22" i="19"/>
  <c r="V22" i="19"/>
  <c r="U23" i="19"/>
  <c r="V23" i="19"/>
  <c r="U24" i="19"/>
  <c r="V24" i="19"/>
  <c r="U25" i="19"/>
  <c r="V25" i="19"/>
  <c r="U26" i="19"/>
  <c r="V26" i="19"/>
  <c r="U27" i="19"/>
  <c r="V27" i="19"/>
  <c r="U28" i="19"/>
  <c r="V28" i="19"/>
  <c r="A4" i="39"/>
  <c r="B4" i="39"/>
  <c r="G4" i="39"/>
  <c r="A5" i="39"/>
  <c r="B5" i="39"/>
  <c r="G5" i="39"/>
  <c r="G13" i="39"/>
  <c r="C4" i="39"/>
  <c r="C5" i="39"/>
  <c r="C13" i="39"/>
  <c r="D4" i="39"/>
  <c r="D5" i="39"/>
  <c r="D13" i="39"/>
  <c r="E4" i="39"/>
  <c r="E5" i="39"/>
  <c r="E13" i="39"/>
  <c r="F4" i="39"/>
  <c r="F5" i="39"/>
  <c r="F13" i="39"/>
  <c r="H13" i="39"/>
  <c r="B6" i="39"/>
  <c r="G6" i="39"/>
  <c r="G14" i="39"/>
  <c r="H14" i="39"/>
  <c r="B7" i="39"/>
  <c r="G7" i="39"/>
  <c r="G15" i="39"/>
  <c r="H15" i="39"/>
  <c r="B8" i="39"/>
  <c r="G8" i="39"/>
  <c r="G16" i="39"/>
  <c r="H16" i="39"/>
  <c r="G17" i="39"/>
  <c r="H17" i="39"/>
  <c r="G18" i="39"/>
  <c r="H18" i="39"/>
  <c r="G19" i="39"/>
  <c r="H19" i="39"/>
  <c r="G20" i="39"/>
  <c r="H20" i="39"/>
  <c r="G21" i="39"/>
  <c r="H21" i="39"/>
  <c r="G22" i="39"/>
  <c r="H22" i="39"/>
  <c r="H23" i="39"/>
  <c r="H25" i="39"/>
  <c r="AA25" i="41"/>
  <c r="C24" i="39"/>
  <c r="A6" i="39"/>
  <c r="C6" i="39"/>
  <c r="C14" i="39"/>
  <c r="D6" i="39"/>
  <c r="D14" i="39"/>
  <c r="E6" i="39"/>
  <c r="E14" i="39"/>
  <c r="F6" i="39"/>
  <c r="F14" i="39"/>
  <c r="A7" i="39"/>
  <c r="C7" i="39"/>
  <c r="C15" i="39"/>
  <c r="D7" i="39"/>
  <c r="D15" i="39"/>
  <c r="E7" i="39"/>
  <c r="E15" i="39"/>
  <c r="F7" i="39"/>
  <c r="F15" i="39"/>
  <c r="A8" i="39"/>
  <c r="C17" i="39"/>
  <c r="D17" i="39"/>
  <c r="E17" i="39"/>
  <c r="F17" i="39"/>
  <c r="C18" i="39"/>
  <c r="D18" i="39"/>
  <c r="E18" i="39"/>
  <c r="F18" i="39"/>
  <c r="C20" i="39"/>
  <c r="D20" i="39"/>
  <c r="E20" i="39"/>
  <c r="F20" i="39"/>
  <c r="Q55" i="19"/>
  <c r="W24" i="41"/>
  <c r="W22" i="41"/>
  <c r="X22" i="41"/>
  <c r="Y22" i="41"/>
  <c r="Z22" i="41"/>
  <c r="AA22" i="41"/>
  <c r="J3" i="19"/>
  <c r="G3" i="19"/>
  <c r="C41" i="28"/>
  <c r="L21" i="19"/>
  <c r="L22" i="19"/>
  <c r="D41" i="28"/>
  <c r="L5" i="19"/>
  <c r="L6" i="19"/>
  <c r="E41" i="28"/>
  <c r="L20" i="19"/>
  <c r="F41" i="28"/>
  <c r="L25" i="19"/>
  <c r="L26" i="19"/>
  <c r="L10" i="19"/>
  <c r="L11" i="19"/>
  <c r="H41" i="28"/>
  <c r="L15" i="19"/>
  <c r="L16" i="19"/>
  <c r="I41" i="28"/>
  <c r="L23" i="19"/>
  <c r="L24" i="19"/>
  <c r="J41" i="28"/>
  <c r="L19" i="19"/>
  <c r="K41" i="28"/>
  <c r="L9" i="19"/>
  <c r="L41" i="28"/>
  <c r="L14" i="19"/>
  <c r="M41" i="28"/>
  <c r="L18" i="19"/>
  <c r="N41" i="28"/>
  <c r="L7" i="19"/>
  <c r="L8" i="19"/>
  <c r="O41" i="28"/>
  <c r="L12" i="19"/>
  <c r="P41" i="28"/>
  <c r="L13" i="19"/>
  <c r="Q41" i="28"/>
  <c r="R41" i="28"/>
  <c r="L17" i="19"/>
  <c r="T41" i="28"/>
  <c r="L27" i="19"/>
  <c r="U41" i="28"/>
  <c r="L4" i="19"/>
  <c r="W41" i="28"/>
  <c r="L28" i="19"/>
  <c r="Q6" i="19"/>
  <c r="AA24" i="41"/>
  <c r="D66" i="28"/>
  <c r="E66" i="28"/>
  <c r="F66" i="28"/>
  <c r="G66" i="28"/>
  <c r="H66" i="28"/>
  <c r="I66" i="28"/>
  <c r="J66" i="28"/>
  <c r="K66" i="28"/>
  <c r="L66" i="28"/>
  <c r="M66" i="28"/>
  <c r="N66" i="28"/>
  <c r="O66" i="28"/>
  <c r="P66" i="28"/>
  <c r="Q66" i="28"/>
  <c r="R66" i="28"/>
  <c r="S66" i="28"/>
  <c r="T66" i="28"/>
  <c r="U66" i="28"/>
  <c r="V66" i="28"/>
  <c r="W66" i="28"/>
  <c r="C66" i="28"/>
  <c r="J4" i="19"/>
  <c r="J5" i="19"/>
  <c r="J6" i="19"/>
  <c r="J7" i="19"/>
  <c r="J8" i="19"/>
  <c r="J9" i="19"/>
  <c r="J10" i="19"/>
  <c r="J11" i="19"/>
  <c r="J12" i="19"/>
  <c r="J13" i="19"/>
  <c r="J14" i="19"/>
  <c r="J15" i="19"/>
  <c r="J16" i="19"/>
  <c r="J17" i="19"/>
  <c r="J18" i="19"/>
  <c r="J19" i="19"/>
  <c r="J20" i="19"/>
  <c r="J21" i="19"/>
  <c r="J22" i="19"/>
  <c r="J23" i="19"/>
  <c r="J24" i="19"/>
  <c r="J25" i="19"/>
  <c r="J26" i="19"/>
  <c r="J27" i="19"/>
  <c r="J28" i="19"/>
  <c r="D4" i="5"/>
  <c r="E4" i="5"/>
  <c r="E27" i="2"/>
  <c r="U39" i="29"/>
  <c r="V55" i="28"/>
  <c r="U40" i="29"/>
  <c r="U38" i="29"/>
  <c r="V54" i="28"/>
  <c r="U37" i="29"/>
  <c r="D18" i="5"/>
  <c r="E18" i="5"/>
  <c r="E21" i="2"/>
  <c r="U36" i="29"/>
  <c r="U35" i="29"/>
  <c r="U34" i="29"/>
  <c r="V44" i="28"/>
  <c r="U9" i="29"/>
  <c r="V59" i="28"/>
  <c r="U15" i="29"/>
  <c r="V43" i="28"/>
  <c r="U17" i="29"/>
  <c r="V49" i="28"/>
  <c r="U18" i="29"/>
  <c r="V46" i="28"/>
  <c r="U19" i="29"/>
  <c r="E22" i="30"/>
  <c r="E23" i="30"/>
  <c r="E24" i="30"/>
  <c r="E25" i="30"/>
  <c r="E26" i="30"/>
  <c r="E27" i="30"/>
  <c r="E28" i="30"/>
  <c r="E29" i="30"/>
  <c r="E30" i="30"/>
  <c r="E31" i="30"/>
  <c r="E32" i="30"/>
  <c r="E33" i="30"/>
  <c r="E34" i="30"/>
  <c r="E35" i="30"/>
  <c r="E36" i="30"/>
  <c r="E37" i="30"/>
  <c r="E38" i="30"/>
  <c r="E39" i="30"/>
  <c r="E40" i="30"/>
  <c r="E41" i="30"/>
  <c r="E42" i="30"/>
  <c r="E43" i="30"/>
  <c r="E44" i="30"/>
  <c r="E45" i="30"/>
  <c r="E46" i="30"/>
  <c r="E47" i="30"/>
  <c r="E48" i="30"/>
  <c r="U16" i="29"/>
  <c r="V52" i="28"/>
  <c r="U21" i="29"/>
  <c r="U22" i="29"/>
  <c r="U23" i="29"/>
  <c r="E2" i="30"/>
  <c r="E3" i="30"/>
  <c r="E4" i="30"/>
  <c r="E5" i="30"/>
  <c r="E6" i="30"/>
  <c r="E7" i="30"/>
  <c r="E8" i="30"/>
  <c r="E9" i="30"/>
  <c r="E10" i="30"/>
  <c r="E11" i="30"/>
  <c r="E12" i="30"/>
  <c r="E13" i="30"/>
  <c r="E14" i="30"/>
  <c r="E15" i="30"/>
  <c r="E16" i="30"/>
  <c r="E17" i="30"/>
  <c r="E18" i="30"/>
  <c r="E19" i="30"/>
  <c r="U20" i="29"/>
  <c r="E51" i="30"/>
  <c r="E52" i="30"/>
  <c r="E53" i="30"/>
  <c r="E54" i="30"/>
  <c r="E55" i="30"/>
  <c r="E56" i="30"/>
  <c r="E57" i="30"/>
  <c r="E58" i="30"/>
  <c r="E59" i="30"/>
  <c r="E60" i="30"/>
  <c r="E61" i="30"/>
  <c r="E62" i="30"/>
  <c r="E63" i="30"/>
  <c r="E64" i="30"/>
  <c r="E65" i="30"/>
  <c r="E66" i="30"/>
  <c r="E67" i="30"/>
  <c r="E68" i="30"/>
  <c r="E69" i="30"/>
  <c r="E70" i="30"/>
  <c r="E71" i="30"/>
  <c r="E72" i="30"/>
  <c r="E73" i="30"/>
  <c r="E74" i="30"/>
  <c r="E75" i="30"/>
  <c r="E76" i="30"/>
  <c r="E77" i="30"/>
  <c r="E78" i="30"/>
  <c r="E79" i="30"/>
  <c r="E80" i="30"/>
  <c r="E81" i="30"/>
  <c r="E82" i="30"/>
  <c r="U14" i="29"/>
  <c r="D8" i="5"/>
  <c r="E8" i="5"/>
  <c r="E13" i="2"/>
  <c r="U11" i="29"/>
  <c r="U13" i="29"/>
  <c r="U12" i="29"/>
  <c r="U10" i="29"/>
  <c r="V56" i="28"/>
  <c r="U27" i="29"/>
  <c r="E5" i="2"/>
  <c r="U26" i="29"/>
  <c r="U25" i="29"/>
  <c r="V61" i="28"/>
  <c r="U29" i="29"/>
  <c r="U30" i="29"/>
  <c r="U28" i="29"/>
  <c r="V53" i="28"/>
  <c r="U33" i="29"/>
  <c r="U32" i="29"/>
  <c r="U31" i="29"/>
  <c r="U24" i="29"/>
  <c r="U8" i="29"/>
  <c r="U2" i="32"/>
  <c r="U3" i="32"/>
  <c r="U4" i="32"/>
  <c r="U5" i="32"/>
  <c r="U6" i="32"/>
  <c r="U7" i="32"/>
  <c r="U8" i="32"/>
  <c r="U9" i="32"/>
  <c r="U10" i="32"/>
  <c r="U11" i="32"/>
  <c r="U12" i="32"/>
  <c r="U13" i="32"/>
  <c r="U14" i="32"/>
  <c r="U15" i="32"/>
  <c r="U16" i="32"/>
  <c r="U17" i="32"/>
  <c r="U18" i="32"/>
  <c r="U19" i="32"/>
  <c r="U20" i="32"/>
  <c r="U21" i="32"/>
  <c r="U22" i="32"/>
  <c r="U23" i="32"/>
  <c r="U24" i="32"/>
  <c r="U25" i="32"/>
  <c r="U26" i="32"/>
  <c r="U27" i="32"/>
  <c r="U28" i="32"/>
  <c r="U29" i="32"/>
  <c r="U30" i="32"/>
  <c r="U31" i="32"/>
  <c r="U32" i="32"/>
  <c r="U33" i="32"/>
  <c r="U34" i="32"/>
  <c r="U44" i="29"/>
  <c r="V47" i="28"/>
  <c r="U45" i="29"/>
  <c r="U48" i="29"/>
  <c r="U47" i="29"/>
  <c r="U46" i="29"/>
  <c r="U43" i="29"/>
  <c r="U50" i="29"/>
  <c r="V50" i="28"/>
  <c r="U51" i="29"/>
  <c r="V51" i="28"/>
  <c r="U52" i="29"/>
  <c r="E860" i="30"/>
  <c r="E861" i="30"/>
  <c r="E862" i="30"/>
  <c r="E863" i="30"/>
  <c r="E864" i="30"/>
  <c r="E865" i="30"/>
  <c r="E866" i="30"/>
  <c r="E867" i="30"/>
  <c r="E868" i="30"/>
  <c r="E869" i="30"/>
  <c r="E870" i="30"/>
  <c r="E871" i="30"/>
  <c r="E872" i="30"/>
  <c r="E873" i="30"/>
  <c r="E874" i="30"/>
  <c r="E875" i="30"/>
  <c r="E876" i="30"/>
  <c r="E877" i="30"/>
  <c r="E878" i="30"/>
  <c r="E879" i="30"/>
  <c r="E880" i="30"/>
  <c r="E881" i="30"/>
  <c r="E882" i="30"/>
  <c r="E883" i="30"/>
  <c r="E884" i="30"/>
  <c r="E885" i="30"/>
  <c r="E886" i="30"/>
  <c r="U49" i="29"/>
  <c r="U56" i="29"/>
  <c r="U55" i="29"/>
  <c r="U54" i="29"/>
  <c r="U57" i="29"/>
  <c r="U53" i="29"/>
  <c r="U42" i="29"/>
  <c r="U63" i="29"/>
  <c r="U64" i="29"/>
  <c r="V45" i="28"/>
  <c r="U61" i="29"/>
  <c r="V42" i="28"/>
  <c r="U62" i="29"/>
  <c r="D751" i="30"/>
  <c r="U60" i="29"/>
  <c r="U59" i="29"/>
  <c r="U67" i="29"/>
  <c r="U66" i="29"/>
  <c r="U65" i="29"/>
  <c r="U70" i="29"/>
  <c r="U69" i="29"/>
  <c r="U68" i="29"/>
  <c r="U58" i="29"/>
  <c r="U41" i="29"/>
  <c r="U35" i="32"/>
  <c r="U36" i="32"/>
  <c r="U37" i="32"/>
  <c r="U38" i="32"/>
  <c r="U39" i="32"/>
  <c r="U40" i="32"/>
  <c r="U41" i="32"/>
  <c r="U42" i="32"/>
  <c r="U43" i="32"/>
  <c r="U44" i="32"/>
  <c r="U45" i="32"/>
  <c r="U46" i="32"/>
  <c r="U47" i="32"/>
  <c r="U48" i="32"/>
  <c r="U49" i="32"/>
  <c r="U50" i="32"/>
  <c r="U51" i="32"/>
  <c r="U52" i="32"/>
  <c r="U53" i="32"/>
  <c r="U54" i="32"/>
  <c r="U55" i="32"/>
  <c r="U56" i="32"/>
  <c r="U57" i="32"/>
  <c r="U58" i="32"/>
  <c r="U59" i="32"/>
  <c r="U60" i="32"/>
  <c r="U61" i="32"/>
  <c r="U62" i="32"/>
  <c r="U63" i="32"/>
  <c r="U64" i="32"/>
  <c r="U72" i="29"/>
  <c r="U73" i="29"/>
  <c r="U71" i="29"/>
  <c r="U65" i="32"/>
  <c r="U66" i="32"/>
  <c r="U67" i="32"/>
  <c r="U77" i="29"/>
  <c r="U75" i="29"/>
  <c r="V63" i="28"/>
  <c r="U76" i="29"/>
  <c r="U74" i="29"/>
  <c r="U68" i="32"/>
  <c r="U69" i="32"/>
  <c r="U70" i="32"/>
  <c r="U71" i="32"/>
  <c r="U83" i="29"/>
  <c r="U82" i="29"/>
  <c r="V58" i="28"/>
  <c r="U80" i="29"/>
  <c r="V64" i="28"/>
  <c r="U81" i="29"/>
  <c r="D654" i="30"/>
  <c r="D655" i="30"/>
  <c r="D656" i="30"/>
  <c r="D657" i="30"/>
  <c r="D658" i="30"/>
  <c r="D659" i="30"/>
  <c r="U79" i="29"/>
  <c r="U78" i="29"/>
  <c r="U72" i="32"/>
  <c r="U73" i="32"/>
  <c r="U74" i="32"/>
  <c r="U75" i="32"/>
  <c r="U76" i="32"/>
  <c r="U77" i="32"/>
  <c r="U96" i="29"/>
  <c r="U87" i="29"/>
  <c r="U89" i="29"/>
  <c r="U90" i="29"/>
  <c r="U91" i="29"/>
  <c r="U88" i="29"/>
  <c r="U93" i="29"/>
  <c r="U94" i="29"/>
  <c r="U95" i="29"/>
  <c r="U92" i="29"/>
  <c r="U86" i="29"/>
  <c r="U85" i="29"/>
  <c r="U97" i="29"/>
  <c r="U84" i="29"/>
  <c r="U78" i="32"/>
  <c r="U79" i="32"/>
  <c r="U80" i="32"/>
  <c r="U81" i="32"/>
  <c r="U82" i="32"/>
  <c r="U83" i="32"/>
  <c r="U84" i="32"/>
  <c r="U85" i="32"/>
  <c r="U86" i="32"/>
  <c r="U87" i="32"/>
  <c r="U88" i="32"/>
  <c r="U89" i="32"/>
  <c r="U90" i="32"/>
  <c r="U91" i="32"/>
  <c r="U115" i="29"/>
  <c r="U106" i="29"/>
  <c r="U108" i="29"/>
  <c r="U109" i="29"/>
  <c r="U110" i="29"/>
  <c r="U107" i="29"/>
  <c r="U112" i="29"/>
  <c r="U113" i="29"/>
  <c r="U114" i="29"/>
  <c r="U111" i="29"/>
  <c r="U105" i="29"/>
  <c r="U104" i="29"/>
  <c r="U117" i="29"/>
  <c r="U119" i="29"/>
  <c r="U120" i="29"/>
  <c r="D506" i="30"/>
  <c r="D507" i="30"/>
  <c r="D508" i="30"/>
  <c r="D509" i="30"/>
  <c r="D510" i="30"/>
  <c r="D511" i="30"/>
  <c r="U118" i="29"/>
  <c r="U116" i="29"/>
  <c r="U102" i="29"/>
  <c r="U101" i="29"/>
  <c r="U100" i="29"/>
  <c r="U103" i="29"/>
  <c r="U99" i="29"/>
  <c r="U98" i="29"/>
  <c r="U92" i="32"/>
  <c r="U93" i="32"/>
  <c r="U94" i="32"/>
  <c r="U95" i="32"/>
  <c r="U96" i="32"/>
  <c r="U97" i="32"/>
  <c r="U98" i="32"/>
  <c r="U99" i="32"/>
  <c r="U100" i="32"/>
  <c r="U101" i="32"/>
  <c r="U102" i="32"/>
  <c r="U103" i="32"/>
  <c r="U104" i="32"/>
  <c r="U105" i="32"/>
  <c r="U106" i="32"/>
  <c r="U107" i="32"/>
  <c r="U108" i="32"/>
  <c r="U109" i="32"/>
  <c r="U110" i="32"/>
  <c r="U111" i="32"/>
  <c r="U112" i="32"/>
  <c r="U113" i="32"/>
  <c r="U114" i="32"/>
  <c r="V62" i="28"/>
  <c r="U122" i="29"/>
  <c r="U123" i="29"/>
  <c r="U121" i="29"/>
  <c r="U115" i="32"/>
  <c r="U116" i="32"/>
  <c r="U117" i="32"/>
  <c r="U125" i="29"/>
  <c r="V57" i="28"/>
  <c r="U126" i="29"/>
  <c r="U128" i="29"/>
  <c r="U127" i="29"/>
  <c r="U124" i="29"/>
  <c r="U118" i="32"/>
  <c r="U119" i="32"/>
  <c r="U120" i="32"/>
  <c r="U121" i="32"/>
  <c r="U122" i="32"/>
  <c r="U130" i="29"/>
  <c r="U134" i="29"/>
  <c r="U133" i="29"/>
  <c r="U132" i="29"/>
  <c r="U135" i="29"/>
  <c r="U131" i="29"/>
  <c r="U129" i="29"/>
  <c r="U123" i="32"/>
  <c r="U124" i="32"/>
  <c r="U125" i="32"/>
  <c r="U126" i="32"/>
  <c r="U127" i="32"/>
  <c r="U128" i="32"/>
  <c r="U129" i="32"/>
  <c r="U137" i="29"/>
  <c r="U141" i="29"/>
  <c r="U140" i="29"/>
  <c r="U139" i="29"/>
  <c r="U142" i="29"/>
  <c r="U138" i="29"/>
  <c r="V65" i="28"/>
  <c r="U143" i="29"/>
  <c r="U136" i="29"/>
  <c r="U130" i="32"/>
  <c r="U131" i="32"/>
  <c r="U132" i="32"/>
  <c r="U133" i="32"/>
  <c r="U134" i="32"/>
  <c r="U135" i="32"/>
  <c r="U136" i="32"/>
  <c r="U137" i="32"/>
  <c r="U156" i="29"/>
  <c r="U147" i="29"/>
  <c r="U149" i="29"/>
  <c r="U150" i="29"/>
  <c r="U151" i="29"/>
  <c r="U148" i="29"/>
  <c r="U153" i="29"/>
  <c r="U154" i="29"/>
  <c r="U155" i="29"/>
  <c r="U152" i="29"/>
  <c r="U146" i="29"/>
  <c r="V48" i="28"/>
  <c r="U157" i="29"/>
  <c r="U145" i="29"/>
  <c r="U138" i="32"/>
  <c r="U139" i="32"/>
  <c r="U140" i="32"/>
  <c r="U141" i="32"/>
  <c r="U142" i="32"/>
  <c r="U143" i="32"/>
  <c r="U144" i="32"/>
  <c r="U145" i="32"/>
  <c r="U146" i="32"/>
  <c r="U147" i="32"/>
  <c r="U148" i="32"/>
  <c r="U149" i="32"/>
  <c r="U150" i="32"/>
  <c r="M39" i="29"/>
  <c r="N55" i="28"/>
  <c r="M40" i="29"/>
  <c r="M38" i="29"/>
  <c r="N54" i="28"/>
  <c r="M37" i="29"/>
  <c r="M36" i="29"/>
  <c r="M35" i="29"/>
  <c r="M34" i="29"/>
  <c r="N44" i="28"/>
  <c r="M9" i="29"/>
  <c r="N59" i="28"/>
  <c r="M15" i="29"/>
  <c r="N43" i="28"/>
  <c r="M17" i="29"/>
  <c r="N49" i="28"/>
  <c r="M18" i="29"/>
  <c r="N46" i="28"/>
  <c r="M19" i="29"/>
  <c r="M16" i="29"/>
  <c r="N52" i="28"/>
  <c r="M21" i="29"/>
  <c r="M22" i="29"/>
  <c r="M23" i="29"/>
  <c r="M20" i="29"/>
  <c r="M14" i="29"/>
  <c r="M11" i="29"/>
  <c r="M13" i="29"/>
  <c r="M12" i="29"/>
  <c r="M10" i="29"/>
  <c r="N56" i="28"/>
  <c r="M27" i="29"/>
  <c r="M26" i="29"/>
  <c r="M25" i="29"/>
  <c r="N61" i="28"/>
  <c r="M29" i="29"/>
  <c r="M30" i="29"/>
  <c r="M28" i="29"/>
  <c r="N53" i="28"/>
  <c r="M33" i="29"/>
  <c r="M32" i="29"/>
  <c r="M31" i="29"/>
  <c r="M24" i="29"/>
  <c r="M8" i="29"/>
  <c r="M2" i="32"/>
  <c r="N39" i="29"/>
  <c r="O55" i="28"/>
  <c r="N40" i="29"/>
  <c r="N38" i="29"/>
  <c r="O54" i="28"/>
  <c r="N37" i="29"/>
  <c r="N36" i="29"/>
  <c r="N35" i="29"/>
  <c r="N34" i="29"/>
  <c r="O44" i="28"/>
  <c r="N9" i="29"/>
  <c r="O59" i="28"/>
  <c r="N15" i="29"/>
  <c r="O43" i="28"/>
  <c r="N17" i="29"/>
  <c r="O49" i="28"/>
  <c r="N18" i="29"/>
  <c r="O46" i="28"/>
  <c r="N19" i="29"/>
  <c r="N16" i="29"/>
  <c r="O52" i="28"/>
  <c r="N21" i="29"/>
  <c r="N22" i="29"/>
  <c r="N23" i="29"/>
  <c r="N20" i="29"/>
  <c r="N14" i="29"/>
  <c r="N11" i="29"/>
  <c r="N13" i="29"/>
  <c r="N12" i="29"/>
  <c r="N10" i="29"/>
  <c r="O56" i="28"/>
  <c r="N27" i="29"/>
  <c r="N26" i="29"/>
  <c r="N25" i="29"/>
  <c r="O61" i="28"/>
  <c r="N29" i="29"/>
  <c r="N30" i="29"/>
  <c r="N28" i="29"/>
  <c r="O53" i="28"/>
  <c r="N33" i="29"/>
  <c r="N32" i="29"/>
  <c r="N31" i="29"/>
  <c r="N24" i="29"/>
  <c r="N8" i="29"/>
  <c r="N2" i="32"/>
  <c r="O39" i="29"/>
  <c r="P55" i="28"/>
  <c r="O40" i="29"/>
  <c r="O38" i="29"/>
  <c r="P54" i="28"/>
  <c r="O37" i="29"/>
  <c r="O36" i="29"/>
  <c r="O35" i="29"/>
  <c r="O34" i="29"/>
  <c r="P44" i="28"/>
  <c r="O9" i="29"/>
  <c r="P59" i="28"/>
  <c r="O15" i="29"/>
  <c r="P43" i="28"/>
  <c r="O17" i="29"/>
  <c r="P49" i="28"/>
  <c r="O18" i="29"/>
  <c r="P46" i="28"/>
  <c r="O19" i="29"/>
  <c r="O16" i="29"/>
  <c r="P52" i="28"/>
  <c r="O21" i="29"/>
  <c r="O22" i="29"/>
  <c r="O23" i="29"/>
  <c r="O20" i="29"/>
  <c r="O14" i="29"/>
  <c r="O11" i="29"/>
  <c r="O13" i="29"/>
  <c r="O12" i="29"/>
  <c r="O10" i="29"/>
  <c r="P56" i="28"/>
  <c r="O27" i="29"/>
  <c r="O26" i="29"/>
  <c r="O25" i="29"/>
  <c r="P61" i="28"/>
  <c r="O29" i="29"/>
  <c r="O30" i="29"/>
  <c r="O28" i="29"/>
  <c r="P53" i="28"/>
  <c r="O33" i="29"/>
  <c r="O32" i="29"/>
  <c r="O31" i="29"/>
  <c r="O24" i="29"/>
  <c r="O8" i="29"/>
  <c r="O2" i="32"/>
  <c r="P39" i="29"/>
  <c r="Q55" i="28"/>
  <c r="P40" i="29"/>
  <c r="P38" i="29"/>
  <c r="Q54" i="28"/>
  <c r="P37" i="29"/>
  <c r="P36" i="29"/>
  <c r="P35" i="29"/>
  <c r="P34" i="29"/>
  <c r="Q44" i="28"/>
  <c r="P9" i="29"/>
  <c r="Q59" i="28"/>
  <c r="P15" i="29"/>
  <c r="Q43" i="28"/>
  <c r="P17" i="29"/>
  <c r="Q49" i="28"/>
  <c r="P18" i="29"/>
  <c r="Q46" i="28"/>
  <c r="P19" i="29"/>
  <c r="P16" i="29"/>
  <c r="Q52" i="28"/>
  <c r="P21" i="29"/>
  <c r="P22" i="29"/>
  <c r="P23" i="29"/>
  <c r="P20" i="29"/>
  <c r="P14" i="29"/>
  <c r="P11" i="29"/>
  <c r="P13" i="29"/>
  <c r="P12" i="29"/>
  <c r="P10" i="29"/>
  <c r="Q56" i="28"/>
  <c r="P27" i="29"/>
  <c r="P26" i="29"/>
  <c r="P25" i="29"/>
  <c r="Q61" i="28"/>
  <c r="P29" i="29"/>
  <c r="P30" i="29"/>
  <c r="P28" i="29"/>
  <c r="Q53" i="28"/>
  <c r="P33" i="29"/>
  <c r="P32" i="29"/>
  <c r="P31" i="29"/>
  <c r="P24" i="29"/>
  <c r="P8" i="29"/>
  <c r="P2" i="32"/>
  <c r="Q39" i="29"/>
  <c r="R55" i="28"/>
  <c r="Q40" i="29"/>
  <c r="Q38" i="29"/>
  <c r="R54" i="28"/>
  <c r="Q37" i="29"/>
  <c r="Q36" i="29"/>
  <c r="Q35" i="29"/>
  <c r="Q34" i="29"/>
  <c r="R44" i="28"/>
  <c r="Q9" i="29"/>
  <c r="R59" i="28"/>
  <c r="Q15" i="29"/>
  <c r="R43" i="28"/>
  <c r="Q17" i="29"/>
  <c r="R49" i="28"/>
  <c r="Q18" i="29"/>
  <c r="R46" i="28"/>
  <c r="Q19" i="29"/>
  <c r="Q16" i="29"/>
  <c r="R52" i="28"/>
  <c r="Q21" i="29"/>
  <c r="Q22" i="29"/>
  <c r="Q23" i="29"/>
  <c r="Q20" i="29"/>
  <c r="Q14" i="29"/>
  <c r="Q11" i="29"/>
  <c r="Q13" i="29"/>
  <c r="Q12" i="29"/>
  <c r="Q10" i="29"/>
  <c r="R56" i="28"/>
  <c r="Q27" i="29"/>
  <c r="Q26" i="29"/>
  <c r="Q25" i="29"/>
  <c r="R61" i="28"/>
  <c r="Q29" i="29"/>
  <c r="Q30" i="29"/>
  <c r="Q28" i="29"/>
  <c r="R53" i="28"/>
  <c r="Q33" i="29"/>
  <c r="Q32" i="29"/>
  <c r="Q31" i="29"/>
  <c r="Q24" i="29"/>
  <c r="Q8" i="29"/>
  <c r="Q2" i="32"/>
  <c r="R39" i="29"/>
  <c r="S55" i="28"/>
  <c r="R40" i="29"/>
  <c r="R38" i="29"/>
  <c r="S54" i="28"/>
  <c r="R37" i="29"/>
  <c r="R36" i="29"/>
  <c r="R35" i="29"/>
  <c r="R34" i="29"/>
  <c r="S44" i="28"/>
  <c r="R9" i="29"/>
  <c r="S59" i="28"/>
  <c r="R15" i="29"/>
  <c r="S43" i="28"/>
  <c r="R17" i="29"/>
  <c r="S49" i="28"/>
  <c r="R18" i="29"/>
  <c r="S46" i="28"/>
  <c r="R19" i="29"/>
  <c r="R16" i="29"/>
  <c r="S52" i="28"/>
  <c r="R21" i="29"/>
  <c r="R22" i="29"/>
  <c r="R23" i="29"/>
  <c r="R20" i="29"/>
  <c r="R14" i="29"/>
  <c r="R11" i="29"/>
  <c r="R13" i="29"/>
  <c r="R12" i="29"/>
  <c r="R10" i="29"/>
  <c r="S56" i="28"/>
  <c r="R27" i="29"/>
  <c r="R26" i="29"/>
  <c r="R25" i="29"/>
  <c r="S61" i="28"/>
  <c r="R29" i="29"/>
  <c r="R30" i="29"/>
  <c r="R28" i="29"/>
  <c r="S53" i="28"/>
  <c r="R33" i="29"/>
  <c r="R32" i="29"/>
  <c r="R31" i="29"/>
  <c r="R24" i="29"/>
  <c r="R8" i="29"/>
  <c r="R2" i="32"/>
  <c r="S39" i="29"/>
  <c r="T55" i="28"/>
  <c r="S40" i="29"/>
  <c r="S38" i="29"/>
  <c r="T54" i="28"/>
  <c r="S37" i="29"/>
  <c r="S36" i="29"/>
  <c r="S35" i="29"/>
  <c r="S34" i="29"/>
  <c r="T44" i="28"/>
  <c r="S9" i="29"/>
  <c r="T59" i="28"/>
  <c r="S15" i="29"/>
  <c r="T43" i="28"/>
  <c r="S17" i="29"/>
  <c r="T49" i="28"/>
  <c r="S18" i="29"/>
  <c r="T46" i="28"/>
  <c r="S19" i="29"/>
  <c r="S16" i="29"/>
  <c r="T52" i="28"/>
  <c r="S21" i="29"/>
  <c r="S22" i="29"/>
  <c r="S23" i="29"/>
  <c r="S20" i="29"/>
  <c r="S14" i="29"/>
  <c r="S11" i="29"/>
  <c r="S13" i="29"/>
  <c r="S12" i="29"/>
  <c r="S10" i="29"/>
  <c r="T56" i="28"/>
  <c r="S27" i="29"/>
  <c r="S26" i="29"/>
  <c r="S25" i="29"/>
  <c r="T61" i="28"/>
  <c r="S29" i="29"/>
  <c r="S30" i="29"/>
  <c r="S28" i="29"/>
  <c r="T53" i="28"/>
  <c r="S33" i="29"/>
  <c r="S32" i="29"/>
  <c r="S31" i="29"/>
  <c r="S24" i="29"/>
  <c r="S8" i="29"/>
  <c r="S2" i="32"/>
  <c r="T39" i="29"/>
  <c r="U55" i="28"/>
  <c r="T40" i="29"/>
  <c r="T38" i="29"/>
  <c r="U54" i="28"/>
  <c r="T37" i="29"/>
  <c r="T36" i="29"/>
  <c r="T35" i="29"/>
  <c r="T34" i="29"/>
  <c r="U44" i="28"/>
  <c r="T9" i="29"/>
  <c r="U59" i="28"/>
  <c r="T15" i="29"/>
  <c r="U43" i="28"/>
  <c r="T17" i="29"/>
  <c r="U49" i="28"/>
  <c r="T18" i="29"/>
  <c r="U46" i="28"/>
  <c r="T19" i="29"/>
  <c r="T16" i="29"/>
  <c r="U52" i="28"/>
  <c r="T21" i="29"/>
  <c r="T22" i="29"/>
  <c r="T23" i="29"/>
  <c r="T20" i="29"/>
  <c r="T14" i="29"/>
  <c r="T11" i="29"/>
  <c r="T13" i="29"/>
  <c r="T12" i="29"/>
  <c r="T10" i="29"/>
  <c r="U56" i="28"/>
  <c r="T27" i="29"/>
  <c r="T26" i="29"/>
  <c r="T25" i="29"/>
  <c r="U61" i="28"/>
  <c r="T29" i="29"/>
  <c r="T30" i="29"/>
  <c r="T28" i="29"/>
  <c r="U53" i="28"/>
  <c r="T33" i="29"/>
  <c r="T32" i="29"/>
  <c r="T31" i="29"/>
  <c r="T24" i="29"/>
  <c r="T8" i="29"/>
  <c r="T2" i="32"/>
  <c r="M3" i="32"/>
  <c r="N3" i="32"/>
  <c r="O3" i="32"/>
  <c r="P3" i="32"/>
  <c r="Q3" i="32"/>
  <c r="R3" i="32"/>
  <c r="S3" i="32"/>
  <c r="T3" i="32"/>
  <c r="M4" i="32"/>
  <c r="N4" i="32"/>
  <c r="O4" i="32"/>
  <c r="P4" i="32"/>
  <c r="Q4" i="32"/>
  <c r="R4" i="32"/>
  <c r="S4" i="32"/>
  <c r="T4" i="32"/>
  <c r="M5" i="32"/>
  <c r="N5" i="32"/>
  <c r="O5" i="32"/>
  <c r="P5" i="32"/>
  <c r="Q5" i="32"/>
  <c r="R5" i="32"/>
  <c r="S5" i="32"/>
  <c r="T5" i="32"/>
  <c r="M6" i="32"/>
  <c r="N6" i="32"/>
  <c r="O6" i="32"/>
  <c r="P6" i="32"/>
  <c r="Q6" i="32"/>
  <c r="R6" i="32"/>
  <c r="S6" i="32"/>
  <c r="T6" i="32"/>
  <c r="M7" i="32"/>
  <c r="N7" i="32"/>
  <c r="O7" i="32"/>
  <c r="P7" i="32"/>
  <c r="Q7" i="32"/>
  <c r="R7" i="32"/>
  <c r="S7" i="32"/>
  <c r="T7" i="32"/>
  <c r="M8" i="32"/>
  <c r="N8" i="32"/>
  <c r="O8" i="32"/>
  <c r="P8" i="32"/>
  <c r="Q8" i="32"/>
  <c r="R8" i="32"/>
  <c r="S8" i="32"/>
  <c r="T8" i="32"/>
  <c r="M9" i="32"/>
  <c r="N9" i="32"/>
  <c r="O9" i="32"/>
  <c r="P9" i="32"/>
  <c r="Q9" i="32"/>
  <c r="R9" i="32"/>
  <c r="S9" i="32"/>
  <c r="T9" i="32"/>
  <c r="M10" i="32"/>
  <c r="N10" i="32"/>
  <c r="O10" i="32"/>
  <c r="P10" i="32"/>
  <c r="Q10" i="32"/>
  <c r="R10" i="32"/>
  <c r="S10" i="32"/>
  <c r="T10" i="32"/>
  <c r="M11" i="32"/>
  <c r="N11" i="32"/>
  <c r="O11" i="32"/>
  <c r="P11" i="32"/>
  <c r="Q11" i="32"/>
  <c r="R11" i="32"/>
  <c r="S11" i="32"/>
  <c r="T11" i="32"/>
  <c r="M12" i="32"/>
  <c r="N12" i="32"/>
  <c r="O12" i="32"/>
  <c r="P12" i="32"/>
  <c r="Q12" i="32"/>
  <c r="R12" i="32"/>
  <c r="S12" i="32"/>
  <c r="T12" i="32"/>
  <c r="M13" i="32"/>
  <c r="N13" i="32"/>
  <c r="O13" i="32"/>
  <c r="P13" i="32"/>
  <c r="Q13" i="32"/>
  <c r="R13" i="32"/>
  <c r="S13" i="32"/>
  <c r="T13" i="32"/>
  <c r="M14" i="32"/>
  <c r="N14" i="32"/>
  <c r="O14" i="32"/>
  <c r="P14" i="32"/>
  <c r="Q14" i="32"/>
  <c r="R14" i="32"/>
  <c r="S14" i="32"/>
  <c r="T14" i="32"/>
  <c r="M15" i="32"/>
  <c r="N15" i="32"/>
  <c r="O15" i="32"/>
  <c r="P15" i="32"/>
  <c r="Q15" i="32"/>
  <c r="R15" i="32"/>
  <c r="S15" i="32"/>
  <c r="T15" i="32"/>
  <c r="M16" i="32"/>
  <c r="N16" i="32"/>
  <c r="O16" i="32"/>
  <c r="P16" i="32"/>
  <c r="Q16" i="32"/>
  <c r="R16" i="32"/>
  <c r="S16" i="32"/>
  <c r="T16" i="32"/>
  <c r="M17" i="32"/>
  <c r="N17" i="32"/>
  <c r="O17" i="32"/>
  <c r="P17" i="32"/>
  <c r="Q17" i="32"/>
  <c r="R17" i="32"/>
  <c r="S17" i="32"/>
  <c r="T17" i="32"/>
  <c r="M18" i="32"/>
  <c r="N18" i="32"/>
  <c r="O18" i="32"/>
  <c r="P18" i="32"/>
  <c r="Q18" i="32"/>
  <c r="R18" i="32"/>
  <c r="S18" i="32"/>
  <c r="T18" i="32"/>
  <c r="M19" i="32"/>
  <c r="N19" i="32"/>
  <c r="O19" i="32"/>
  <c r="P19" i="32"/>
  <c r="Q19" i="32"/>
  <c r="R19" i="32"/>
  <c r="S19" i="32"/>
  <c r="T19" i="32"/>
  <c r="M20" i="32"/>
  <c r="N20" i="32"/>
  <c r="O20" i="32"/>
  <c r="P20" i="32"/>
  <c r="Q20" i="32"/>
  <c r="R20" i="32"/>
  <c r="S20" i="32"/>
  <c r="T20" i="32"/>
  <c r="M21" i="32"/>
  <c r="N21" i="32"/>
  <c r="O21" i="32"/>
  <c r="P21" i="32"/>
  <c r="Q21" i="32"/>
  <c r="R21" i="32"/>
  <c r="S21" i="32"/>
  <c r="T21" i="32"/>
  <c r="M22" i="32"/>
  <c r="N22" i="32"/>
  <c r="O22" i="32"/>
  <c r="P22" i="32"/>
  <c r="Q22" i="32"/>
  <c r="R22" i="32"/>
  <c r="S22" i="32"/>
  <c r="T22" i="32"/>
  <c r="M23" i="32"/>
  <c r="N23" i="32"/>
  <c r="O23" i="32"/>
  <c r="P23" i="32"/>
  <c r="Q23" i="32"/>
  <c r="R23" i="32"/>
  <c r="S23" i="32"/>
  <c r="T23" i="32"/>
  <c r="M24" i="32"/>
  <c r="N24" i="32"/>
  <c r="O24" i="32"/>
  <c r="P24" i="32"/>
  <c r="Q24" i="32"/>
  <c r="R24" i="32"/>
  <c r="S24" i="32"/>
  <c r="T24" i="32"/>
  <c r="M25" i="32"/>
  <c r="N25" i="32"/>
  <c r="O25" i="32"/>
  <c r="P25" i="32"/>
  <c r="Q25" i="32"/>
  <c r="R25" i="32"/>
  <c r="S25" i="32"/>
  <c r="T25" i="32"/>
  <c r="M26" i="32"/>
  <c r="N26" i="32"/>
  <c r="O26" i="32"/>
  <c r="P26" i="32"/>
  <c r="Q26" i="32"/>
  <c r="R26" i="32"/>
  <c r="S26" i="32"/>
  <c r="T26" i="32"/>
  <c r="M27" i="32"/>
  <c r="N27" i="32"/>
  <c r="O27" i="32"/>
  <c r="P27" i="32"/>
  <c r="Q27" i="32"/>
  <c r="R27" i="32"/>
  <c r="S27" i="32"/>
  <c r="T27" i="32"/>
  <c r="M28" i="32"/>
  <c r="N28" i="32"/>
  <c r="O28" i="32"/>
  <c r="P28" i="32"/>
  <c r="Q28" i="32"/>
  <c r="R28" i="32"/>
  <c r="S28" i="32"/>
  <c r="T28" i="32"/>
  <c r="M29" i="32"/>
  <c r="N29" i="32"/>
  <c r="O29" i="32"/>
  <c r="P29" i="32"/>
  <c r="Q29" i="32"/>
  <c r="R29" i="32"/>
  <c r="S29" i="32"/>
  <c r="T29" i="32"/>
  <c r="M30" i="32"/>
  <c r="N30" i="32"/>
  <c r="O30" i="32"/>
  <c r="P30" i="32"/>
  <c r="Q30" i="32"/>
  <c r="R30" i="32"/>
  <c r="S30" i="32"/>
  <c r="T30" i="32"/>
  <c r="M31" i="32"/>
  <c r="N31" i="32"/>
  <c r="O31" i="32"/>
  <c r="P31" i="32"/>
  <c r="Q31" i="32"/>
  <c r="R31" i="32"/>
  <c r="S31" i="32"/>
  <c r="T31" i="32"/>
  <c r="M32" i="32"/>
  <c r="N32" i="32"/>
  <c r="O32" i="32"/>
  <c r="P32" i="32"/>
  <c r="Q32" i="32"/>
  <c r="R32" i="32"/>
  <c r="S32" i="32"/>
  <c r="T32" i="32"/>
  <c r="M33" i="32"/>
  <c r="N33" i="32"/>
  <c r="O33" i="32"/>
  <c r="P33" i="32"/>
  <c r="Q33" i="32"/>
  <c r="R33" i="32"/>
  <c r="S33" i="32"/>
  <c r="T33" i="32"/>
  <c r="M34" i="32"/>
  <c r="N34" i="32"/>
  <c r="O34" i="32"/>
  <c r="P34" i="32"/>
  <c r="Q34" i="32"/>
  <c r="R34" i="32"/>
  <c r="S34" i="32"/>
  <c r="T34" i="32"/>
  <c r="M44" i="29"/>
  <c r="N47" i="28"/>
  <c r="M45" i="29"/>
  <c r="M48" i="29"/>
  <c r="M47" i="29"/>
  <c r="M46" i="29"/>
  <c r="M43" i="29"/>
  <c r="M50" i="29"/>
  <c r="N50" i="28"/>
  <c r="M51" i="29"/>
  <c r="N51" i="28"/>
  <c r="M52" i="29"/>
  <c r="M49" i="29"/>
  <c r="M56" i="29"/>
  <c r="M55" i="29"/>
  <c r="M54" i="29"/>
  <c r="M57" i="29"/>
  <c r="M53" i="29"/>
  <c r="M42" i="29"/>
  <c r="M63" i="29"/>
  <c r="M64" i="29"/>
  <c r="N45" i="28"/>
  <c r="M61" i="29"/>
  <c r="N42" i="28"/>
  <c r="M62" i="29"/>
  <c r="D752" i="30"/>
  <c r="D753" i="30"/>
  <c r="D754" i="30"/>
  <c r="D755" i="30"/>
  <c r="D756" i="30"/>
  <c r="D757" i="30"/>
  <c r="D758" i="30"/>
  <c r="D759" i="30"/>
  <c r="M60" i="29"/>
  <c r="M59" i="29"/>
  <c r="M67" i="29"/>
  <c r="M66" i="29"/>
  <c r="M65" i="29"/>
  <c r="M70" i="29"/>
  <c r="M69" i="29"/>
  <c r="M68" i="29"/>
  <c r="M58" i="29"/>
  <c r="M41" i="29"/>
  <c r="M35" i="32"/>
  <c r="N44" i="29"/>
  <c r="O47" i="28"/>
  <c r="N45" i="29"/>
  <c r="N48" i="29"/>
  <c r="N47" i="29"/>
  <c r="N46" i="29"/>
  <c r="N43" i="29"/>
  <c r="N50" i="29"/>
  <c r="O50" i="28"/>
  <c r="N51" i="29"/>
  <c r="O51" i="28"/>
  <c r="N52" i="29"/>
  <c r="N49" i="29"/>
  <c r="N56" i="29"/>
  <c r="N55" i="29"/>
  <c r="N54" i="29"/>
  <c r="N57" i="29"/>
  <c r="N53" i="29"/>
  <c r="N42" i="29"/>
  <c r="N63" i="29"/>
  <c r="N64" i="29"/>
  <c r="O45" i="28"/>
  <c r="N61" i="29"/>
  <c r="O42" i="28"/>
  <c r="N62" i="29"/>
  <c r="N60" i="29"/>
  <c r="N59" i="29"/>
  <c r="N67" i="29"/>
  <c r="N66" i="29"/>
  <c r="N65" i="29"/>
  <c r="N70" i="29"/>
  <c r="N69" i="29"/>
  <c r="N68" i="29"/>
  <c r="N58" i="29"/>
  <c r="N41" i="29"/>
  <c r="N35" i="32"/>
  <c r="O44" i="29"/>
  <c r="P47" i="28"/>
  <c r="O45" i="29"/>
  <c r="O48" i="29"/>
  <c r="O47" i="29"/>
  <c r="O46" i="29"/>
  <c r="O43" i="29"/>
  <c r="O50" i="29"/>
  <c r="P50" i="28"/>
  <c r="O51" i="29"/>
  <c r="P51" i="28"/>
  <c r="O52" i="29"/>
  <c r="O49" i="29"/>
  <c r="O56" i="29"/>
  <c r="O55" i="29"/>
  <c r="O54" i="29"/>
  <c r="O57" i="29"/>
  <c r="O53" i="29"/>
  <c r="O42" i="29"/>
  <c r="O63" i="29"/>
  <c r="O64" i="29"/>
  <c r="P45" i="28"/>
  <c r="O61" i="29"/>
  <c r="P42" i="28"/>
  <c r="O62" i="29"/>
  <c r="O60" i="29"/>
  <c r="O59" i="29"/>
  <c r="O67" i="29"/>
  <c r="O66" i="29"/>
  <c r="O65" i="29"/>
  <c r="O70" i="29"/>
  <c r="O69" i="29"/>
  <c r="O68" i="29"/>
  <c r="O58" i="29"/>
  <c r="O41" i="29"/>
  <c r="O35" i="32"/>
  <c r="P44" i="29"/>
  <c r="Q47" i="28"/>
  <c r="P45" i="29"/>
  <c r="P48" i="29"/>
  <c r="P47" i="29"/>
  <c r="P46" i="29"/>
  <c r="P43" i="29"/>
  <c r="P50" i="29"/>
  <c r="Q50" i="28"/>
  <c r="P51" i="29"/>
  <c r="Q51" i="28"/>
  <c r="P52" i="29"/>
  <c r="P49" i="29"/>
  <c r="P56" i="29"/>
  <c r="P55" i="29"/>
  <c r="P54" i="29"/>
  <c r="P57" i="29"/>
  <c r="P53" i="29"/>
  <c r="P42" i="29"/>
  <c r="P63" i="29"/>
  <c r="P64" i="29"/>
  <c r="Q45" i="28"/>
  <c r="P61" i="29"/>
  <c r="Q42" i="28"/>
  <c r="P62" i="29"/>
  <c r="P60" i="29"/>
  <c r="P59" i="29"/>
  <c r="P67" i="29"/>
  <c r="P66" i="29"/>
  <c r="P65" i="29"/>
  <c r="P70" i="29"/>
  <c r="P69" i="29"/>
  <c r="P68" i="29"/>
  <c r="P58" i="29"/>
  <c r="P41" i="29"/>
  <c r="P35" i="32"/>
  <c r="Q44" i="29"/>
  <c r="R47" i="28"/>
  <c r="Q45" i="29"/>
  <c r="Q48" i="29"/>
  <c r="Q47" i="29"/>
  <c r="Q46" i="29"/>
  <c r="Q43" i="29"/>
  <c r="Q50" i="29"/>
  <c r="R50" i="28"/>
  <c r="Q51" i="29"/>
  <c r="R51" i="28"/>
  <c r="Q52" i="29"/>
  <c r="Q49" i="29"/>
  <c r="Q56" i="29"/>
  <c r="Q55" i="29"/>
  <c r="Q54" i="29"/>
  <c r="Q57" i="29"/>
  <c r="Q53" i="29"/>
  <c r="Q42" i="29"/>
  <c r="Q63" i="29"/>
  <c r="Q64" i="29"/>
  <c r="R45" i="28"/>
  <c r="Q61" i="29"/>
  <c r="R42" i="28"/>
  <c r="Q62" i="29"/>
  <c r="Q60" i="29"/>
  <c r="Q59" i="29"/>
  <c r="Q67" i="29"/>
  <c r="Q66" i="29"/>
  <c r="Q65" i="29"/>
  <c r="Q70" i="29"/>
  <c r="Q69" i="29"/>
  <c r="Q68" i="29"/>
  <c r="Q58" i="29"/>
  <c r="Q41" i="29"/>
  <c r="Q35" i="32"/>
  <c r="R44" i="29"/>
  <c r="S47" i="28"/>
  <c r="R45" i="29"/>
  <c r="R48" i="29"/>
  <c r="R47" i="29"/>
  <c r="R46" i="29"/>
  <c r="R43" i="29"/>
  <c r="R50" i="29"/>
  <c r="S50" i="28"/>
  <c r="R51" i="29"/>
  <c r="S51" i="28"/>
  <c r="R52" i="29"/>
  <c r="R49" i="29"/>
  <c r="R56" i="29"/>
  <c r="R55" i="29"/>
  <c r="R54" i="29"/>
  <c r="R57" i="29"/>
  <c r="R53" i="29"/>
  <c r="R42" i="29"/>
  <c r="R63" i="29"/>
  <c r="R64" i="29"/>
  <c r="S45" i="28"/>
  <c r="R61" i="29"/>
  <c r="S42" i="28"/>
  <c r="R62" i="29"/>
  <c r="R60" i="29"/>
  <c r="R59" i="29"/>
  <c r="R67" i="29"/>
  <c r="R66" i="29"/>
  <c r="R65" i="29"/>
  <c r="R70" i="29"/>
  <c r="R69" i="29"/>
  <c r="R68" i="29"/>
  <c r="R58" i="29"/>
  <c r="R41" i="29"/>
  <c r="R35" i="32"/>
  <c r="S44" i="29"/>
  <c r="T47" i="28"/>
  <c r="S45" i="29"/>
  <c r="S48" i="29"/>
  <c r="S47" i="29"/>
  <c r="S46" i="29"/>
  <c r="S43" i="29"/>
  <c r="S50" i="29"/>
  <c r="T50" i="28"/>
  <c r="S51" i="29"/>
  <c r="T51" i="28"/>
  <c r="S52" i="29"/>
  <c r="S49" i="29"/>
  <c r="S56" i="29"/>
  <c r="S55" i="29"/>
  <c r="S54" i="29"/>
  <c r="S57" i="29"/>
  <c r="S53" i="29"/>
  <c r="S42" i="29"/>
  <c r="S63" i="29"/>
  <c r="S64" i="29"/>
  <c r="T45" i="28"/>
  <c r="S61" i="29"/>
  <c r="T42" i="28"/>
  <c r="S62" i="29"/>
  <c r="S60" i="29"/>
  <c r="S59" i="29"/>
  <c r="S67" i="29"/>
  <c r="S66" i="29"/>
  <c r="S65" i="29"/>
  <c r="S70" i="29"/>
  <c r="S69" i="29"/>
  <c r="S68" i="29"/>
  <c r="S58" i="29"/>
  <c r="S41" i="29"/>
  <c r="S35" i="32"/>
  <c r="T44" i="29"/>
  <c r="U47" i="28"/>
  <c r="T45" i="29"/>
  <c r="T48" i="29"/>
  <c r="T47" i="29"/>
  <c r="T46" i="29"/>
  <c r="T43" i="29"/>
  <c r="T50" i="29"/>
  <c r="U50" i="28"/>
  <c r="T51" i="29"/>
  <c r="U51" i="28"/>
  <c r="T52" i="29"/>
  <c r="T49" i="29"/>
  <c r="T56" i="29"/>
  <c r="T55" i="29"/>
  <c r="T54" i="29"/>
  <c r="T57" i="29"/>
  <c r="T53" i="29"/>
  <c r="T42" i="29"/>
  <c r="T63" i="29"/>
  <c r="T64" i="29"/>
  <c r="U45" i="28"/>
  <c r="T61" i="29"/>
  <c r="U42" i="28"/>
  <c r="T62" i="29"/>
  <c r="T60" i="29"/>
  <c r="T59" i="29"/>
  <c r="T67" i="29"/>
  <c r="T66" i="29"/>
  <c r="T65" i="29"/>
  <c r="T70" i="29"/>
  <c r="T69" i="29"/>
  <c r="T68" i="29"/>
  <c r="T58" i="29"/>
  <c r="T41" i="29"/>
  <c r="T35" i="32"/>
  <c r="M36" i="32"/>
  <c r="N36" i="32"/>
  <c r="O36" i="32"/>
  <c r="P36" i="32"/>
  <c r="Q36" i="32"/>
  <c r="R36" i="32"/>
  <c r="S36" i="32"/>
  <c r="T36" i="32"/>
  <c r="M37" i="32"/>
  <c r="N37" i="32"/>
  <c r="O37" i="32"/>
  <c r="P37" i="32"/>
  <c r="Q37" i="32"/>
  <c r="R37" i="32"/>
  <c r="S37" i="32"/>
  <c r="T37" i="32"/>
  <c r="M38" i="32"/>
  <c r="N38" i="32"/>
  <c r="O38" i="32"/>
  <c r="P38" i="32"/>
  <c r="Q38" i="32"/>
  <c r="R38" i="32"/>
  <c r="S38" i="32"/>
  <c r="T38" i="32"/>
  <c r="M39" i="32"/>
  <c r="N39" i="32"/>
  <c r="O39" i="32"/>
  <c r="P39" i="32"/>
  <c r="Q39" i="32"/>
  <c r="R39" i="32"/>
  <c r="S39" i="32"/>
  <c r="T39" i="32"/>
  <c r="M40" i="32"/>
  <c r="N40" i="32"/>
  <c r="O40" i="32"/>
  <c r="P40" i="32"/>
  <c r="Q40" i="32"/>
  <c r="R40" i="32"/>
  <c r="S40" i="32"/>
  <c r="T40" i="32"/>
  <c r="M41" i="32"/>
  <c r="N41" i="32"/>
  <c r="O41" i="32"/>
  <c r="P41" i="32"/>
  <c r="Q41" i="32"/>
  <c r="R41" i="32"/>
  <c r="S41" i="32"/>
  <c r="T41" i="32"/>
  <c r="M42" i="32"/>
  <c r="N42" i="32"/>
  <c r="O42" i="32"/>
  <c r="P42" i="32"/>
  <c r="Q42" i="32"/>
  <c r="R42" i="32"/>
  <c r="S42" i="32"/>
  <c r="T42" i="32"/>
  <c r="M43" i="32"/>
  <c r="N43" i="32"/>
  <c r="O43" i="32"/>
  <c r="P43" i="32"/>
  <c r="Q43" i="32"/>
  <c r="R43" i="32"/>
  <c r="S43" i="32"/>
  <c r="T43" i="32"/>
  <c r="M44" i="32"/>
  <c r="N44" i="32"/>
  <c r="O44" i="32"/>
  <c r="P44" i="32"/>
  <c r="Q44" i="32"/>
  <c r="R44" i="32"/>
  <c r="S44" i="32"/>
  <c r="T44" i="32"/>
  <c r="M45" i="32"/>
  <c r="N45" i="32"/>
  <c r="O45" i="32"/>
  <c r="P45" i="32"/>
  <c r="Q45" i="32"/>
  <c r="R45" i="32"/>
  <c r="S45" i="32"/>
  <c r="T45" i="32"/>
  <c r="M46" i="32"/>
  <c r="N46" i="32"/>
  <c r="O46" i="32"/>
  <c r="P46" i="32"/>
  <c r="Q46" i="32"/>
  <c r="R46" i="32"/>
  <c r="S46" i="32"/>
  <c r="T46" i="32"/>
  <c r="M47" i="32"/>
  <c r="N47" i="32"/>
  <c r="O47" i="32"/>
  <c r="P47" i="32"/>
  <c r="Q47" i="32"/>
  <c r="R47" i="32"/>
  <c r="S47" i="32"/>
  <c r="T47" i="32"/>
  <c r="M48" i="32"/>
  <c r="N48" i="32"/>
  <c r="O48" i="32"/>
  <c r="P48" i="32"/>
  <c r="Q48" i="32"/>
  <c r="R48" i="32"/>
  <c r="S48" i="32"/>
  <c r="T48" i="32"/>
  <c r="M49" i="32"/>
  <c r="N49" i="32"/>
  <c r="O49" i="32"/>
  <c r="P49" i="32"/>
  <c r="Q49" i="32"/>
  <c r="R49" i="32"/>
  <c r="S49" i="32"/>
  <c r="T49" i="32"/>
  <c r="M50" i="32"/>
  <c r="N50" i="32"/>
  <c r="O50" i="32"/>
  <c r="P50" i="32"/>
  <c r="Q50" i="32"/>
  <c r="R50" i="32"/>
  <c r="S50" i="32"/>
  <c r="T50" i="32"/>
  <c r="M51" i="32"/>
  <c r="N51" i="32"/>
  <c r="O51" i="32"/>
  <c r="P51" i="32"/>
  <c r="Q51" i="32"/>
  <c r="R51" i="32"/>
  <c r="S51" i="32"/>
  <c r="T51" i="32"/>
  <c r="M52" i="32"/>
  <c r="N52" i="32"/>
  <c r="O52" i="32"/>
  <c r="P52" i="32"/>
  <c r="Q52" i="32"/>
  <c r="R52" i="32"/>
  <c r="S52" i="32"/>
  <c r="T52" i="32"/>
  <c r="M53" i="32"/>
  <c r="N53" i="32"/>
  <c r="O53" i="32"/>
  <c r="P53" i="32"/>
  <c r="Q53" i="32"/>
  <c r="R53" i="32"/>
  <c r="S53" i="32"/>
  <c r="T53" i="32"/>
  <c r="M54" i="32"/>
  <c r="N54" i="32"/>
  <c r="O54" i="32"/>
  <c r="P54" i="32"/>
  <c r="Q54" i="32"/>
  <c r="R54" i="32"/>
  <c r="S54" i="32"/>
  <c r="T54" i="32"/>
  <c r="M55" i="32"/>
  <c r="N55" i="32"/>
  <c r="O55" i="32"/>
  <c r="P55" i="32"/>
  <c r="Q55" i="32"/>
  <c r="R55" i="32"/>
  <c r="S55" i="32"/>
  <c r="T55" i="32"/>
  <c r="M56" i="32"/>
  <c r="N56" i="32"/>
  <c r="O56" i="32"/>
  <c r="P56" i="32"/>
  <c r="Q56" i="32"/>
  <c r="R56" i="32"/>
  <c r="S56" i="32"/>
  <c r="T56" i="32"/>
  <c r="M57" i="32"/>
  <c r="N57" i="32"/>
  <c r="O57" i="32"/>
  <c r="P57" i="32"/>
  <c r="Q57" i="32"/>
  <c r="R57" i="32"/>
  <c r="S57" i="32"/>
  <c r="T57" i="32"/>
  <c r="M58" i="32"/>
  <c r="N58" i="32"/>
  <c r="O58" i="32"/>
  <c r="P58" i="32"/>
  <c r="Q58" i="32"/>
  <c r="R58" i="32"/>
  <c r="S58" i="32"/>
  <c r="T58" i="32"/>
  <c r="M59" i="32"/>
  <c r="N59" i="32"/>
  <c r="O59" i="32"/>
  <c r="P59" i="32"/>
  <c r="Q59" i="32"/>
  <c r="R59" i="32"/>
  <c r="S59" i="32"/>
  <c r="T59" i="32"/>
  <c r="M60" i="32"/>
  <c r="N60" i="32"/>
  <c r="O60" i="32"/>
  <c r="P60" i="32"/>
  <c r="Q60" i="32"/>
  <c r="R60" i="32"/>
  <c r="S60" i="32"/>
  <c r="T60" i="32"/>
  <c r="M61" i="32"/>
  <c r="N61" i="32"/>
  <c r="O61" i="32"/>
  <c r="P61" i="32"/>
  <c r="Q61" i="32"/>
  <c r="R61" i="32"/>
  <c r="S61" i="32"/>
  <c r="T61" i="32"/>
  <c r="M62" i="32"/>
  <c r="N62" i="32"/>
  <c r="O62" i="32"/>
  <c r="P62" i="32"/>
  <c r="Q62" i="32"/>
  <c r="R62" i="32"/>
  <c r="S62" i="32"/>
  <c r="T62" i="32"/>
  <c r="M63" i="32"/>
  <c r="N63" i="32"/>
  <c r="O63" i="32"/>
  <c r="P63" i="32"/>
  <c r="Q63" i="32"/>
  <c r="R63" i="32"/>
  <c r="S63" i="32"/>
  <c r="T63" i="32"/>
  <c r="M64" i="32"/>
  <c r="N64" i="32"/>
  <c r="O64" i="32"/>
  <c r="P64" i="32"/>
  <c r="Q64" i="32"/>
  <c r="R64" i="32"/>
  <c r="S64" i="32"/>
  <c r="T64" i="32"/>
  <c r="M72" i="29"/>
  <c r="M73" i="29"/>
  <c r="M71" i="29"/>
  <c r="M65" i="32"/>
  <c r="N72" i="29"/>
  <c r="N73" i="29"/>
  <c r="N71" i="29"/>
  <c r="N65" i="32"/>
  <c r="O72" i="29"/>
  <c r="O73" i="29"/>
  <c r="O71" i="29"/>
  <c r="O65" i="32"/>
  <c r="P72" i="29"/>
  <c r="P73" i="29"/>
  <c r="P71" i="29"/>
  <c r="P65" i="32"/>
  <c r="Q72" i="29"/>
  <c r="Q73" i="29"/>
  <c r="Q71" i="29"/>
  <c r="Q65" i="32"/>
  <c r="R72" i="29"/>
  <c r="R73" i="29"/>
  <c r="R71" i="29"/>
  <c r="R65" i="32"/>
  <c r="S72" i="29"/>
  <c r="S73" i="29"/>
  <c r="S71" i="29"/>
  <c r="S65" i="32"/>
  <c r="T72" i="29"/>
  <c r="T73" i="29"/>
  <c r="T71" i="29"/>
  <c r="T65" i="32"/>
  <c r="M66" i="32"/>
  <c r="N66" i="32"/>
  <c r="O66" i="32"/>
  <c r="P66" i="32"/>
  <c r="Q66" i="32"/>
  <c r="R66" i="32"/>
  <c r="S66" i="32"/>
  <c r="T66" i="32"/>
  <c r="M67" i="32"/>
  <c r="N67" i="32"/>
  <c r="O67" i="32"/>
  <c r="P67" i="32"/>
  <c r="Q67" i="32"/>
  <c r="R67" i="32"/>
  <c r="S67" i="32"/>
  <c r="T67" i="32"/>
  <c r="M77" i="29"/>
  <c r="M75" i="29"/>
  <c r="N63" i="28"/>
  <c r="M76" i="29"/>
  <c r="M74" i="29"/>
  <c r="M68" i="32"/>
  <c r="N77" i="29"/>
  <c r="N75" i="29"/>
  <c r="O63" i="28"/>
  <c r="N76" i="29"/>
  <c r="N74" i="29"/>
  <c r="N68" i="32"/>
  <c r="O77" i="29"/>
  <c r="O75" i="29"/>
  <c r="P63" i="28"/>
  <c r="O76" i="29"/>
  <c r="O74" i="29"/>
  <c r="O68" i="32"/>
  <c r="P77" i="29"/>
  <c r="P75" i="29"/>
  <c r="Q63" i="28"/>
  <c r="P76" i="29"/>
  <c r="P74" i="29"/>
  <c r="P68" i="32"/>
  <c r="Q77" i="29"/>
  <c r="Q75" i="29"/>
  <c r="R63" i="28"/>
  <c r="Q76" i="29"/>
  <c r="Q74" i="29"/>
  <c r="Q68" i="32"/>
  <c r="R77" i="29"/>
  <c r="R75" i="29"/>
  <c r="S63" i="28"/>
  <c r="R76" i="29"/>
  <c r="R74" i="29"/>
  <c r="R68" i="32"/>
  <c r="S77" i="29"/>
  <c r="S75" i="29"/>
  <c r="T63" i="28"/>
  <c r="S76" i="29"/>
  <c r="S74" i="29"/>
  <c r="S68" i="32"/>
  <c r="T77" i="29"/>
  <c r="T75" i="29"/>
  <c r="U63" i="28"/>
  <c r="T76" i="29"/>
  <c r="T74" i="29"/>
  <c r="T68" i="32"/>
  <c r="M69" i="32"/>
  <c r="N69" i="32"/>
  <c r="O69" i="32"/>
  <c r="P69" i="32"/>
  <c r="Q69" i="32"/>
  <c r="R69" i="32"/>
  <c r="S69" i="32"/>
  <c r="T69" i="32"/>
  <c r="M70" i="32"/>
  <c r="N70" i="32"/>
  <c r="O70" i="32"/>
  <c r="P70" i="32"/>
  <c r="Q70" i="32"/>
  <c r="R70" i="32"/>
  <c r="S70" i="32"/>
  <c r="T70" i="32"/>
  <c r="M71" i="32"/>
  <c r="N71" i="32"/>
  <c r="O71" i="32"/>
  <c r="P71" i="32"/>
  <c r="Q71" i="32"/>
  <c r="R71" i="32"/>
  <c r="S71" i="32"/>
  <c r="T71" i="32"/>
  <c r="M83" i="29"/>
  <c r="M82" i="29"/>
  <c r="N58" i="28"/>
  <c r="M80" i="29"/>
  <c r="N64" i="28"/>
  <c r="M81" i="29"/>
  <c r="M79" i="29"/>
  <c r="M78" i="29"/>
  <c r="M72" i="32"/>
  <c r="N83" i="29"/>
  <c r="N82" i="29"/>
  <c r="O58" i="28"/>
  <c r="N80" i="29"/>
  <c r="O64" i="28"/>
  <c r="N81" i="29"/>
  <c r="N79" i="29"/>
  <c r="N78" i="29"/>
  <c r="N72" i="32"/>
  <c r="O83" i="29"/>
  <c r="O82" i="29"/>
  <c r="P58" i="28"/>
  <c r="O80" i="29"/>
  <c r="P64" i="28"/>
  <c r="O81" i="29"/>
  <c r="O79" i="29"/>
  <c r="O78" i="29"/>
  <c r="O72" i="32"/>
  <c r="P83" i="29"/>
  <c r="P82" i="29"/>
  <c r="Q58" i="28"/>
  <c r="P80" i="29"/>
  <c r="Q64" i="28"/>
  <c r="P81" i="29"/>
  <c r="P79" i="29"/>
  <c r="P78" i="29"/>
  <c r="P72" i="32"/>
  <c r="Q83" i="29"/>
  <c r="Q82" i="29"/>
  <c r="R58" i="28"/>
  <c r="Q80" i="29"/>
  <c r="R64" i="28"/>
  <c r="Q81" i="29"/>
  <c r="Q79" i="29"/>
  <c r="Q78" i="29"/>
  <c r="Q72" i="32"/>
  <c r="R83" i="29"/>
  <c r="R82" i="29"/>
  <c r="S58" i="28"/>
  <c r="R80" i="29"/>
  <c r="S64" i="28"/>
  <c r="R81" i="29"/>
  <c r="R79" i="29"/>
  <c r="R78" i="29"/>
  <c r="R72" i="32"/>
  <c r="S83" i="29"/>
  <c r="S82" i="29"/>
  <c r="T58" i="28"/>
  <c r="S80" i="29"/>
  <c r="T64" i="28"/>
  <c r="S81" i="29"/>
  <c r="S79" i="29"/>
  <c r="S78" i="29"/>
  <c r="S72" i="32"/>
  <c r="T83" i="29"/>
  <c r="T82" i="29"/>
  <c r="U58" i="28"/>
  <c r="T80" i="29"/>
  <c r="U64" i="28"/>
  <c r="T81" i="29"/>
  <c r="T79" i="29"/>
  <c r="T78" i="29"/>
  <c r="T72" i="32"/>
  <c r="M73" i="32"/>
  <c r="N73" i="32"/>
  <c r="O73" i="32"/>
  <c r="P73" i="32"/>
  <c r="Q73" i="32"/>
  <c r="R73" i="32"/>
  <c r="S73" i="32"/>
  <c r="T73" i="32"/>
  <c r="M74" i="32"/>
  <c r="N74" i="32"/>
  <c r="O74" i="32"/>
  <c r="P74" i="32"/>
  <c r="Q74" i="32"/>
  <c r="R74" i="32"/>
  <c r="S74" i="32"/>
  <c r="T74" i="32"/>
  <c r="M75" i="32"/>
  <c r="N75" i="32"/>
  <c r="O75" i="32"/>
  <c r="P75" i="32"/>
  <c r="Q75" i="32"/>
  <c r="R75" i="32"/>
  <c r="S75" i="32"/>
  <c r="T75" i="32"/>
  <c r="M76" i="32"/>
  <c r="N76" i="32"/>
  <c r="O76" i="32"/>
  <c r="P76" i="32"/>
  <c r="Q76" i="32"/>
  <c r="R76" i="32"/>
  <c r="S76" i="32"/>
  <c r="T76" i="32"/>
  <c r="M77" i="32"/>
  <c r="N77" i="32"/>
  <c r="O77" i="32"/>
  <c r="P77" i="32"/>
  <c r="Q77" i="32"/>
  <c r="R77" i="32"/>
  <c r="S77" i="32"/>
  <c r="T77" i="32"/>
  <c r="M96" i="29"/>
  <c r="M87" i="29"/>
  <c r="M89" i="29"/>
  <c r="M90" i="29"/>
  <c r="M91" i="29"/>
  <c r="M88" i="29"/>
  <c r="M93" i="29"/>
  <c r="M94" i="29"/>
  <c r="M95" i="29"/>
  <c r="M92" i="29"/>
  <c r="M86" i="29"/>
  <c r="M85" i="29"/>
  <c r="M97" i="29"/>
  <c r="M84" i="29"/>
  <c r="M78" i="32"/>
  <c r="N96" i="29"/>
  <c r="N87" i="29"/>
  <c r="N89" i="29"/>
  <c r="N90" i="29"/>
  <c r="N91" i="29"/>
  <c r="N88" i="29"/>
  <c r="N93" i="29"/>
  <c r="N94" i="29"/>
  <c r="N95" i="29"/>
  <c r="N92" i="29"/>
  <c r="N86" i="29"/>
  <c r="N85" i="29"/>
  <c r="N97" i="29"/>
  <c r="N84" i="29"/>
  <c r="N78" i="32"/>
  <c r="O96" i="29"/>
  <c r="O87" i="29"/>
  <c r="O89" i="29"/>
  <c r="O90" i="29"/>
  <c r="O91" i="29"/>
  <c r="O88" i="29"/>
  <c r="O93" i="29"/>
  <c r="O94" i="29"/>
  <c r="O95" i="29"/>
  <c r="O92" i="29"/>
  <c r="O86" i="29"/>
  <c r="O85" i="29"/>
  <c r="O97" i="29"/>
  <c r="O84" i="29"/>
  <c r="O78" i="32"/>
  <c r="P96" i="29"/>
  <c r="P87" i="29"/>
  <c r="P89" i="29"/>
  <c r="P90" i="29"/>
  <c r="P91" i="29"/>
  <c r="P88" i="29"/>
  <c r="P93" i="29"/>
  <c r="P94" i="29"/>
  <c r="P95" i="29"/>
  <c r="P92" i="29"/>
  <c r="P86" i="29"/>
  <c r="P85" i="29"/>
  <c r="P97" i="29"/>
  <c r="P84" i="29"/>
  <c r="P78" i="32"/>
  <c r="Q96" i="29"/>
  <c r="Q87" i="29"/>
  <c r="Q89" i="29"/>
  <c r="Q90" i="29"/>
  <c r="Q91" i="29"/>
  <c r="Q88" i="29"/>
  <c r="Q93" i="29"/>
  <c r="Q94" i="29"/>
  <c r="Q95" i="29"/>
  <c r="Q92" i="29"/>
  <c r="Q86" i="29"/>
  <c r="Q85" i="29"/>
  <c r="Q97" i="29"/>
  <c r="Q84" i="29"/>
  <c r="Q78" i="32"/>
  <c r="R96" i="29"/>
  <c r="R87" i="29"/>
  <c r="R89" i="29"/>
  <c r="R90" i="29"/>
  <c r="R91" i="29"/>
  <c r="R88" i="29"/>
  <c r="R93" i="29"/>
  <c r="R94" i="29"/>
  <c r="R95" i="29"/>
  <c r="R92" i="29"/>
  <c r="R86" i="29"/>
  <c r="R85" i="29"/>
  <c r="R97" i="29"/>
  <c r="R84" i="29"/>
  <c r="R78" i="32"/>
  <c r="S96" i="29"/>
  <c r="S87" i="29"/>
  <c r="S89" i="29"/>
  <c r="S90" i="29"/>
  <c r="S91" i="29"/>
  <c r="S88" i="29"/>
  <c r="S93" i="29"/>
  <c r="S94" i="29"/>
  <c r="S95" i="29"/>
  <c r="S92" i="29"/>
  <c r="S86" i="29"/>
  <c r="S85" i="29"/>
  <c r="S97" i="29"/>
  <c r="S84" i="29"/>
  <c r="S78" i="32"/>
  <c r="T96" i="29"/>
  <c r="T87" i="29"/>
  <c r="T89" i="29"/>
  <c r="T90" i="29"/>
  <c r="T91" i="29"/>
  <c r="T88" i="29"/>
  <c r="T93" i="29"/>
  <c r="T94" i="29"/>
  <c r="T95" i="29"/>
  <c r="T92" i="29"/>
  <c r="T86" i="29"/>
  <c r="T85" i="29"/>
  <c r="T97" i="29"/>
  <c r="T84" i="29"/>
  <c r="T78" i="32"/>
  <c r="M79" i="32"/>
  <c r="N79" i="32"/>
  <c r="O79" i="32"/>
  <c r="P79" i="32"/>
  <c r="Q79" i="32"/>
  <c r="R79" i="32"/>
  <c r="S79" i="32"/>
  <c r="T79" i="32"/>
  <c r="M80" i="32"/>
  <c r="N80" i="32"/>
  <c r="O80" i="32"/>
  <c r="P80" i="32"/>
  <c r="Q80" i="32"/>
  <c r="R80" i="32"/>
  <c r="S80" i="32"/>
  <c r="T80" i="32"/>
  <c r="M81" i="32"/>
  <c r="N81" i="32"/>
  <c r="O81" i="32"/>
  <c r="P81" i="32"/>
  <c r="Q81" i="32"/>
  <c r="R81" i="32"/>
  <c r="S81" i="32"/>
  <c r="T81" i="32"/>
  <c r="M82" i="32"/>
  <c r="N82" i="32"/>
  <c r="O82" i="32"/>
  <c r="P82" i="32"/>
  <c r="Q82" i="32"/>
  <c r="R82" i="32"/>
  <c r="S82" i="32"/>
  <c r="T82" i="32"/>
  <c r="M83" i="32"/>
  <c r="N83" i="32"/>
  <c r="O83" i="32"/>
  <c r="P83" i="32"/>
  <c r="Q83" i="32"/>
  <c r="R83" i="32"/>
  <c r="S83" i="32"/>
  <c r="T83" i="32"/>
  <c r="M84" i="32"/>
  <c r="N84" i="32"/>
  <c r="O84" i="32"/>
  <c r="P84" i="32"/>
  <c r="Q84" i="32"/>
  <c r="R84" i="32"/>
  <c r="S84" i="32"/>
  <c r="T84" i="32"/>
  <c r="M85" i="32"/>
  <c r="N85" i="32"/>
  <c r="O85" i="32"/>
  <c r="P85" i="32"/>
  <c r="Q85" i="32"/>
  <c r="R85" i="32"/>
  <c r="S85" i="32"/>
  <c r="T85" i="32"/>
  <c r="M86" i="32"/>
  <c r="N86" i="32"/>
  <c r="O86" i="32"/>
  <c r="P86" i="32"/>
  <c r="Q86" i="32"/>
  <c r="R86" i="32"/>
  <c r="S86" i="32"/>
  <c r="T86" i="32"/>
  <c r="M87" i="32"/>
  <c r="N87" i="32"/>
  <c r="O87" i="32"/>
  <c r="P87" i="32"/>
  <c r="Q87" i="32"/>
  <c r="R87" i="32"/>
  <c r="S87" i="32"/>
  <c r="T87" i="32"/>
  <c r="M88" i="32"/>
  <c r="N88" i="32"/>
  <c r="O88" i="32"/>
  <c r="P88" i="32"/>
  <c r="Q88" i="32"/>
  <c r="R88" i="32"/>
  <c r="S88" i="32"/>
  <c r="T88" i="32"/>
  <c r="M89" i="32"/>
  <c r="N89" i="32"/>
  <c r="O89" i="32"/>
  <c r="P89" i="32"/>
  <c r="Q89" i="32"/>
  <c r="R89" i="32"/>
  <c r="S89" i="32"/>
  <c r="T89" i="32"/>
  <c r="M90" i="32"/>
  <c r="N90" i="32"/>
  <c r="O90" i="32"/>
  <c r="P90" i="32"/>
  <c r="Q90" i="32"/>
  <c r="R90" i="32"/>
  <c r="S90" i="32"/>
  <c r="T90" i="32"/>
  <c r="M91" i="32"/>
  <c r="N91" i="32"/>
  <c r="O91" i="32"/>
  <c r="P91" i="32"/>
  <c r="Q91" i="32"/>
  <c r="R91" i="32"/>
  <c r="S91" i="32"/>
  <c r="T91" i="32"/>
  <c r="M115" i="29"/>
  <c r="M106" i="29"/>
  <c r="M108" i="29"/>
  <c r="M109" i="29"/>
  <c r="M110" i="29"/>
  <c r="M107" i="29"/>
  <c r="M112" i="29"/>
  <c r="M113" i="29"/>
  <c r="M114" i="29"/>
  <c r="M111" i="29"/>
  <c r="M105" i="29"/>
  <c r="M104" i="29"/>
  <c r="M117" i="29"/>
  <c r="M119" i="29"/>
  <c r="M120" i="29"/>
  <c r="M118" i="29"/>
  <c r="M116" i="29"/>
  <c r="M102" i="29"/>
  <c r="M101" i="29"/>
  <c r="M100" i="29"/>
  <c r="M103" i="29"/>
  <c r="M99" i="29"/>
  <c r="M98" i="29"/>
  <c r="M92" i="32"/>
  <c r="N115" i="29"/>
  <c r="N106" i="29"/>
  <c r="N108" i="29"/>
  <c r="N109" i="29"/>
  <c r="N110" i="29"/>
  <c r="N107" i="29"/>
  <c r="N112" i="29"/>
  <c r="N113" i="29"/>
  <c r="N114" i="29"/>
  <c r="N111" i="29"/>
  <c r="N105" i="29"/>
  <c r="N104" i="29"/>
  <c r="N117" i="29"/>
  <c r="N119" i="29"/>
  <c r="N120" i="29"/>
  <c r="N118" i="29"/>
  <c r="N116" i="29"/>
  <c r="N102" i="29"/>
  <c r="N101" i="29"/>
  <c r="N100" i="29"/>
  <c r="N103" i="29"/>
  <c r="N99" i="29"/>
  <c r="N98" i="29"/>
  <c r="N92" i="32"/>
  <c r="O115" i="29"/>
  <c r="O106" i="29"/>
  <c r="O108" i="29"/>
  <c r="O109" i="29"/>
  <c r="O110" i="29"/>
  <c r="O107" i="29"/>
  <c r="O112" i="29"/>
  <c r="O113" i="29"/>
  <c r="O114" i="29"/>
  <c r="O111" i="29"/>
  <c r="O105" i="29"/>
  <c r="O104" i="29"/>
  <c r="O117" i="29"/>
  <c r="O119" i="29"/>
  <c r="O120" i="29"/>
  <c r="O118" i="29"/>
  <c r="O116" i="29"/>
  <c r="O102" i="29"/>
  <c r="O101" i="29"/>
  <c r="O100" i="29"/>
  <c r="O103" i="29"/>
  <c r="O99" i="29"/>
  <c r="O98" i="29"/>
  <c r="O92" i="32"/>
  <c r="P115" i="29"/>
  <c r="P106" i="29"/>
  <c r="P108" i="29"/>
  <c r="P109" i="29"/>
  <c r="P110" i="29"/>
  <c r="P107" i="29"/>
  <c r="P112" i="29"/>
  <c r="P113" i="29"/>
  <c r="P114" i="29"/>
  <c r="P111" i="29"/>
  <c r="P105" i="29"/>
  <c r="P104" i="29"/>
  <c r="P117" i="29"/>
  <c r="P119" i="29"/>
  <c r="P120" i="29"/>
  <c r="P118" i="29"/>
  <c r="P116" i="29"/>
  <c r="P102" i="29"/>
  <c r="P101" i="29"/>
  <c r="P100" i="29"/>
  <c r="P103" i="29"/>
  <c r="P99" i="29"/>
  <c r="P98" i="29"/>
  <c r="P92" i="32"/>
  <c r="Q115" i="29"/>
  <c r="Q106" i="29"/>
  <c r="Q108" i="29"/>
  <c r="Q109" i="29"/>
  <c r="Q110" i="29"/>
  <c r="Q107" i="29"/>
  <c r="Q112" i="29"/>
  <c r="Q113" i="29"/>
  <c r="Q114" i="29"/>
  <c r="Q111" i="29"/>
  <c r="Q105" i="29"/>
  <c r="Q104" i="29"/>
  <c r="Q117" i="29"/>
  <c r="Q119" i="29"/>
  <c r="Q120" i="29"/>
  <c r="Q118" i="29"/>
  <c r="Q116" i="29"/>
  <c r="Q102" i="29"/>
  <c r="Q101" i="29"/>
  <c r="Q100" i="29"/>
  <c r="Q103" i="29"/>
  <c r="Q99" i="29"/>
  <c r="Q98" i="29"/>
  <c r="Q92" i="32"/>
  <c r="R115" i="29"/>
  <c r="R106" i="29"/>
  <c r="R108" i="29"/>
  <c r="R109" i="29"/>
  <c r="R110" i="29"/>
  <c r="R107" i="29"/>
  <c r="R112" i="29"/>
  <c r="R113" i="29"/>
  <c r="R114" i="29"/>
  <c r="R111" i="29"/>
  <c r="R105" i="29"/>
  <c r="R104" i="29"/>
  <c r="R117" i="29"/>
  <c r="R119" i="29"/>
  <c r="R120" i="29"/>
  <c r="R118" i="29"/>
  <c r="R116" i="29"/>
  <c r="R102" i="29"/>
  <c r="R101" i="29"/>
  <c r="R100" i="29"/>
  <c r="R103" i="29"/>
  <c r="R99" i="29"/>
  <c r="R98" i="29"/>
  <c r="R92" i="32"/>
  <c r="S115" i="29"/>
  <c r="S106" i="29"/>
  <c r="S108" i="29"/>
  <c r="S109" i="29"/>
  <c r="S110" i="29"/>
  <c r="S107" i="29"/>
  <c r="S112" i="29"/>
  <c r="S113" i="29"/>
  <c r="S114" i="29"/>
  <c r="S111" i="29"/>
  <c r="S105" i="29"/>
  <c r="S104" i="29"/>
  <c r="S117" i="29"/>
  <c r="S119" i="29"/>
  <c r="S120" i="29"/>
  <c r="S118" i="29"/>
  <c r="S116" i="29"/>
  <c r="S102" i="29"/>
  <c r="S101" i="29"/>
  <c r="S100" i="29"/>
  <c r="S103" i="29"/>
  <c r="S99" i="29"/>
  <c r="S98" i="29"/>
  <c r="S92" i="32"/>
  <c r="T115" i="29"/>
  <c r="T106" i="29"/>
  <c r="T108" i="29"/>
  <c r="T109" i="29"/>
  <c r="T110" i="29"/>
  <c r="T107" i="29"/>
  <c r="T112" i="29"/>
  <c r="T113" i="29"/>
  <c r="T114" i="29"/>
  <c r="T111" i="29"/>
  <c r="T105" i="29"/>
  <c r="T104" i="29"/>
  <c r="T117" i="29"/>
  <c r="T119" i="29"/>
  <c r="T120" i="29"/>
  <c r="T118" i="29"/>
  <c r="T116" i="29"/>
  <c r="T102" i="29"/>
  <c r="T101" i="29"/>
  <c r="T100" i="29"/>
  <c r="T103" i="29"/>
  <c r="T99" i="29"/>
  <c r="T98" i="29"/>
  <c r="T92" i="32"/>
  <c r="M93" i="32"/>
  <c r="N93" i="32"/>
  <c r="O93" i="32"/>
  <c r="P93" i="32"/>
  <c r="Q93" i="32"/>
  <c r="R93" i="32"/>
  <c r="S93" i="32"/>
  <c r="T93" i="32"/>
  <c r="M94" i="32"/>
  <c r="N94" i="32"/>
  <c r="O94" i="32"/>
  <c r="P94" i="32"/>
  <c r="Q94" i="32"/>
  <c r="R94" i="32"/>
  <c r="S94" i="32"/>
  <c r="T94" i="32"/>
  <c r="M95" i="32"/>
  <c r="N95" i="32"/>
  <c r="O95" i="32"/>
  <c r="P95" i="32"/>
  <c r="Q95" i="32"/>
  <c r="R95" i="32"/>
  <c r="S95" i="32"/>
  <c r="T95" i="32"/>
  <c r="M96" i="32"/>
  <c r="N96" i="32"/>
  <c r="O96" i="32"/>
  <c r="P96" i="32"/>
  <c r="Q96" i="32"/>
  <c r="R96" i="32"/>
  <c r="S96" i="32"/>
  <c r="T96" i="32"/>
  <c r="M97" i="32"/>
  <c r="N97" i="32"/>
  <c r="O97" i="32"/>
  <c r="P97" i="32"/>
  <c r="Q97" i="32"/>
  <c r="R97" i="32"/>
  <c r="S97" i="32"/>
  <c r="T97" i="32"/>
  <c r="M98" i="32"/>
  <c r="N98" i="32"/>
  <c r="O98" i="32"/>
  <c r="P98" i="32"/>
  <c r="Q98" i="32"/>
  <c r="R98" i="32"/>
  <c r="S98" i="32"/>
  <c r="T98" i="32"/>
  <c r="M99" i="32"/>
  <c r="N99" i="32"/>
  <c r="O99" i="32"/>
  <c r="P99" i="32"/>
  <c r="Q99" i="32"/>
  <c r="R99" i="32"/>
  <c r="S99" i="32"/>
  <c r="T99" i="32"/>
  <c r="M100" i="32"/>
  <c r="N100" i="32"/>
  <c r="O100" i="32"/>
  <c r="P100" i="32"/>
  <c r="Q100" i="32"/>
  <c r="R100" i="32"/>
  <c r="S100" i="32"/>
  <c r="T100" i="32"/>
  <c r="M101" i="32"/>
  <c r="N101" i="32"/>
  <c r="O101" i="32"/>
  <c r="P101" i="32"/>
  <c r="Q101" i="32"/>
  <c r="R101" i="32"/>
  <c r="S101" i="32"/>
  <c r="T101" i="32"/>
  <c r="M102" i="32"/>
  <c r="N102" i="32"/>
  <c r="O102" i="32"/>
  <c r="P102" i="32"/>
  <c r="Q102" i="32"/>
  <c r="R102" i="32"/>
  <c r="S102" i="32"/>
  <c r="T102" i="32"/>
  <c r="M103" i="32"/>
  <c r="N103" i="32"/>
  <c r="O103" i="32"/>
  <c r="P103" i="32"/>
  <c r="Q103" i="32"/>
  <c r="R103" i="32"/>
  <c r="S103" i="32"/>
  <c r="T103" i="32"/>
  <c r="M104" i="32"/>
  <c r="N104" i="32"/>
  <c r="O104" i="32"/>
  <c r="P104" i="32"/>
  <c r="Q104" i="32"/>
  <c r="R104" i="32"/>
  <c r="S104" i="32"/>
  <c r="T104" i="32"/>
  <c r="M105" i="32"/>
  <c r="N105" i="32"/>
  <c r="O105" i="32"/>
  <c r="P105" i="32"/>
  <c r="Q105" i="32"/>
  <c r="R105" i="32"/>
  <c r="S105" i="32"/>
  <c r="T105" i="32"/>
  <c r="M106" i="32"/>
  <c r="N106" i="32"/>
  <c r="O106" i="32"/>
  <c r="P106" i="32"/>
  <c r="Q106" i="32"/>
  <c r="R106" i="32"/>
  <c r="S106" i="32"/>
  <c r="T106" i="32"/>
  <c r="M107" i="32"/>
  <c r="N107" i="32"/>
  <c r="O107" i="32"/>
  <c r="P107" i="32"/>
  <c r="Q107" i="32"/>
  <c r="R107" i="32"/>
  <c r="S107" i="32"/>
  <c r="T107" i="32"/>
  <c r="M108" i="32"/>
  <c r="N108" i="32"/>
  <c r="O108" i="32"/>
  <c r="P108" i="32"/>
  <c r="Q108" i="32"/>
  <c r="R108" i="32"/>
  <c r="S108" i="32"/>
  <c r="T108" i="32"/>
  <c r="M109" i="32"/>
  <c r="N109" i="32"/>
  <c r="O109" i="32"/>
  <c r="P109" i="32"/>
  <c r="Q109" i="32"/>
  <c r="R109" i="32"/>
  <c r="S109" i="32"/>
  <c r="T109" i="32"/>
  <c r="M110" i="32"/>
  <c r="N110" i="32"/>
  <c r="O110" i="32"/>
  <c r="P110" i="32"/>
  <c r="Q110" i="32"/>
  <c r="R110" i="32"/>
  <c r="S110" i="32"/>
  <c r="T110" i="32"/>
  <c r="M111" i="32"/>
  <c r="N111" i="32"/>
  <c r="O111" i="32"/>
  <c r="P111" i="32"/>
  <c r="Q111" i="32"/>
  <c r="R111" i="32"/>
  <c r="S111" i="32"/>
  <c r="T111" i="32"/>
  <c r="M112" i="32"/>
  <c r="N112" i="32"/>
  <c r="O112" i="32"/>
  <c r="P112" i="32"/>
  <c r="Q112" i="32"/>
  <c r="R112" i="32"/>
  <c r="S112" i="32"/>
  <c r="T112" i="32"/>
  <c r="M113" i="32"/>
  <c r="N113" i="32"/>
  <c r="O113" i="32"/>
  <c r="P113" i="32"/>
  <c r="Q113" i="32"/>
  <c r="R113" i="32"/>
  <c r="S113" i="32"/>
  <c r="T113" i="32"/>
  <c r="M114" i="32"/>
  <c r="N114" i="32"/>
  <c r="O114" i="32"/>
  <c r="P114" i="32"/>
  <c r="Q114" i="32"/>
  <c r="R114" i="32"/>
  <c r="S114" i="32"/>
  <c r="T114" i="32"/>
  <c r="N62" i="28"/>
  <c r="M122" i="29"/>
  <c r="M123" i="29"/>
  <c r="M121" i="29"/>
  <c r="M115" i="32"/>
  <c r="O62" i="28"/>
  <c r="N122" i="29"/>
  <c r="N123" i="29"/>
  <c r="N121" i="29"/>
  <c r="N115" i="32"/>
  <c r="P62" i="28"/>
  <c r="O122" i="29"/>
  <c r="O123" i="29"/>
  <c r="O121" i="29"/>
  <c r="O115" i="32"/>
  <c r="Q62" i="28"/>
  <c r="P122" i="29"/>
  <c r="P123" i="29"/>
  <c r="P121" i="29"/>
  <c r="P115" i="32"/>
  <c r="R62" i="28"/>
  <c r="Q122" i="29"/>
  <c r="Q123" i="29"/>
  <c r="Q121" i="29"/>
  <c r="Q115" i="32"/>
  <c r="S62" i="28"/>
  <c r="R122" i="29"/>
  <c r="R123" i="29"/>
  <c r="R121" i="29"/>
  <c r="R115" i="32"/>
  <c r="T62" i="28"/>
  <c r="S122" i="29"/>
  <c r="S123" i="29"/>
  <c r="S121" i="29"/>
  <c r="S115" i="32"/>
  <c r="U62" i="28"/>
  <c r="T122" i="29"/>
  <c r="T123" i="29"/>
  <c r="T121" i="29"/>
  <c r="T115" i="32"/>
  <c r="M116" i="32"/>
  <c r="N116" i="32"/>
  <c r="O116" i="32"/>
  <c r="P116" i="32"/>
  <c r="Q116" i="32"/>
  <c r="R116" i="32"/>
  <c r="S116" i="32"/>
  <c r="T116" i="32"/>
  <c r="M117" i="32"/>
  <c r="N117" i="32"/>
  <c r="O117" i="32"/>
  <c r="P117" i="32"/>
  <c r="Q117" i="32"/>
  <c r="R117" i="32"/>
  <c r="S117" i="32"/>
  <c r="T117" i="32"/>
  <c r="M125" i="29"/>
  <c r="N57" i="28"/>
  <c r="M126" i="29"/>
  <c r="M128" i="29"/>
  <c r="M127" i="29"/>
  <c r="M124" i="29"/>
  <c r="M118" i="32"/>
  <c r="N125" i="29"/>
  <c r="O57" i="28"/>
  <c r="N126" i="29"/>
  <c r="N128" i="29"/>
  <c r="N127" i="29"/>
  <c r="N124" i="29"/>
  <c r="N118" i="32"/>
  <c r="O125" i="29"/>
  <c r="P57" i="28"/>
  <c r="O126" i="29"/>
  <c r="O128" i="29"/>
  <c r="O127" i="29"/>
  <c r="O124" i="29"/>
  <c r="O118" i="32"/>
  <c r="P125" i="29"/>
  <c r="Q57" i="28"/>
  <c r="P126" i="29"/>
  <c r="P128" i="29"/>
  <c r="P127" i="29"/>
  <c r="P124" i="29"/>
  <c r="P118" i="32"/>
  <c r="Q125" i="29"/>
  <c r="R57" i="28"/>
  <c r="Q126" i="29"/>
  <c r="Q128" i="29"/>
  <c r="Q127" i="29"/>
  <c r="Q124" i="29"/>
  <c r="Q118" i="32"/>
  <c r="R125" i="29"/>
  <c r="S57" i="28"/>
  <c r="R126" i="29"/>
  <c r="R128" i="29"/>
  <c r="R127" i="29"/>
  <c r="R124" i="29"/>
  <c r="R118" i="32"/>
  <c r="S125" i="29"/>
  <c r="T57" i="28"/>
  <c r="S126" i="29"/>
  <c r="S128" i="29"/>
  <c r="S127" i="29"/>
  <c r="S124" i="29"/>
  <c r="S118" i="32"/>
  <c r="T125" i="29"/>
  <c r="U57" i="28"/>
  <c r="T126" i="29"/>
  <c r="T128" i="29"/>
  <c r="T127" i="29"/>
  <c r="T124" i="29"/>
  <c r="T118" i="32"/>
  <c r="M119" i="32"/>
  <c r="N119" i="32"/>
  <c r="O119" i="32"/>
  <c r="P119" i="32"/>
  <c r="Q119" i="32"/>
  <c r="R119" i="32"/>
  <c r="S119" i="32"/>
  <c r="T119" i="32"/>
  <c r="M120" i="32"/>
  <c r="N120" i="32"/>
  <c r="O120" i="32"/>
  <c r="P120" i="32"/>
  <c r="Q120" i="32"/>
  <c r="R120" i="32"/>
  <c r="S120" i="32"/>
  <c r="T120" i="32"/>
  <c r="M121" i="32"/>
  <c r="N121" i="32"/>
  <c r="O121" i="32"/>
  <c r="P121" i="32"/>
  <c r="Q121" i="32"/>
  <c r="R121" i="32"/>
  <c r="S121" i="32"/>
  <c r="T121" i="32"/>
  <c r="M122" i="32"/>
  <c r="N122" i="32"/>
  <c r="O122" i="32"/>
  <c r="P122" i="32"/>
  <c r="Q122" i="32"/>
  <c r="R122" i="32"/>
  <c r="S122" i="32"/>
  <c r="T122" i="32"/>
  <c r="M130" i="29"/>
  <c r="M134" i="29"/>
  <c r="M133" i="29"/>
  <c r="M132" i="29"/>
  <c r="M135" i="29"/>
  <c r="M131" i="29"/>
  <c r="M129" i="29"/>
  <c r="M123" i="32"/>
  <c r="N130" i="29"/>
  <c r="N134" i="29"/>
  <c r="N133" i="29"/>
  <c r="N132" i="29"/>
  <c r="N135" i="29"/>
  <c r="N131" i="29"/>
  <c r="N129" i="29"/>
  <c r="N123" i="32"/>
  <c r="O130" i="29"/>
  <c r="O134" i="29"/>
  <c r="O133" i="29"/>
  <c r="O132" i="29"/>
  <c r="O135" i="29"/>
  <c r="O131" i="29"/>
  <c r="O129" i="29"/>
  <c r="O123" i="32"/>
  <c r="P130" i="29"/>
  <c r="P134" i="29"/>
  <c r="P133" i="29"/>
  <c r="P132" i="29"/>
  <c r="P135" i="29"/>
  <c r="P131" i="29"/>
  <c r="P129" i="29"/>
  <c r="P123" i="32"/>
  <c r="Q130" i="29"/>
  <c r="Q134" i="29"/>
  <c r="Q133" i="29"/>
  <c r="Q132" i="29"/>
  <c r="Q135" i="29"/>
  <c r="Q131" i="29"/>
  <c r="Q129" i="29"/>
  <c r="Q123" i="32"/>
  <c r="R130" i="29"/>
  <c r="R134" i="29"/>
  <c r="R133" i="29"/>
  <c r="R132" i="29"/>
  <c r="R135" i="29"/>
  <c r="R131" i="29"/>
  <c r="R129" i="29"/>
  <c r="R123" i="32"/>
  <c r="S130" i="29"/>
  <c r="S134" i="29"/>
  <c r="S133" i="29"/>
  <c r="S132" i="29"/>
  <c r="S135" i="29"/>
  <c r="S131" i="29"/>
  <c r="S129" i="29"/>
  <c r="S123" i="32"/>
  <c r="T130" i="29"/>
  <c r="T134" i="29"/>
  <c r="T133" i="29"/>
  <c r="T132" i="29"/>
  <c r="T135" i="29"/>
  <c r="T131" i="29"/>
  <c r="T129" i="29"/>
  <c r="T123" i="32"/>
  <c r="M124" i="32"/>
  <c r="N124" i="32"/>
  <c r="O124" i="32"/>
  <c r="P124" i="32"/>
  <c r="Q124" i="32"/>
  <c r="R124" i="32"/>
  <c r="S124" i="32"/>
  <c r="T124" i="32"/>
  <c r="M125" i="32"/>
  <c r="N125" i="32"/>
  <c r="O125" i="32"/>
  <c r="P125" i="32"/>
  <c r="Q125" i="32"/>
  <c r="R125" i="32"/>
  <c r="S125" i="32"/>
  <c r="T125" i="32"/>
  <c r="M126" i="32"/>
  <c r="N126" i="32"/>
  <c r="O126" i="32"/>
  <c r="P126" i="32"/>
  <c r="Q126" i="32"/>
  <c r="R126" i="32"/>
  <c r="S126" i="32"/>
  <c r="T126" i="32"/>
  <c r="M127" i="32"/>
  <c r="N127" i="32"/>
  <c r="O127" i="32"/>
  <c r="P127" i="32"/>
  <c r="Q127" i="32"/>
  <c r="R127" i="32"/>
  <c r="S127" i="32"/>
  <c r="T127" i="32"/>
  <c r="M128" i="32"/>
  <c r="N128" i="32"/>
  <c r="O128" i="32"/>
  <c r="P128" i="32"/>
  <c r="Q128" i="32"/>
  <c r="R128" i="32"/>
  <c r="S128" i="32"/>
  <c r="T128" i="32"/>
  <c r="M129" i="32"/>
  <c r="N129" i="32"/>
  <c r="O129" i="32"/>
  <c r="P129" i="32"/>
  <c r="Q129" i="32"/>
  <c r="R129" i="32"/>
  <c r="S129" i="32"/>
  <c r="T129" i="32"/>
  <c r="M137" i="29"/>
  <c r="M141" i="29"/>
  <c r="M140" i="29"/>
  <c r="M139" i="29"/>
  <c r="M142" i="29"/>
  <c r="M138" i="29"/>
  <c r="N65" i="28"/>
  <c r="M143" i="29"/>
  <c r="M136" i="29"/>
  <c r="M130" i="32"/>
  <c r="N137" i="29"/>
  <c r="N141" i="29"/>
  <c r="N140" i="29"/>
  <c r="N139" i="29"/>
  <c r="N142" i="29"/>
  <c r="N138" i="29"/>
  <c r="O65" i="28"/>
  <c r="N143" i="29"/>
  <c r="N136" i="29"/>
  <c r="N130" i="32"/>
  <c r="O137" i="29"/>
  <c r="O141" i="29"/>
  <c r="O140" i="29"/>
  <c r="O139" i="29"/>
  <c r="O142" i="29"/>
  <c r="O138" i="29"/>
  <c r="P65" i="28"/>
  <c r="O143" i="29"/>
  <c r="O136" i="29"/>
  <c r="O130" i="32"/>
  <c r="P137" i="29"/>
  <c r="P141" i="29"/>
  <c r="P140" i="29"/>
  <c r="P139" i="29"/>
  <c r="P142" i="29"/>
  <c r="P138" i="29"/>
  <c r="Q65" i="28"/>
  <c r="P143" i="29"/>
  <c r="P136" i="29"/>
  <c r="P130" i="32"/>
  <c r="Q137" i="29"/>
  <c r="Q141" i="29"/>
  <c r="Q140" i="29"/>
  <c r="Q139" i="29"/>
  <c r="Q142" i="29"/>
  <c r="Q138" i="29"/>
  <c r="R65" i="28"/>
  <c r="Q143" i="29"/>
  <c r="Q136" i="29"/>
  <c r="Q130" i="32"/>
  <c r="R137" i="29"/>
  <c r="R141" i="29"/>
  <c r="R140" i="29"/>
  <c r="R139" i="29"/>
  <c r="R142" i="29"/>
  <c r="R138" i="29"/>
  <c r="S65" i="28"/>
  <c r="R143" i="29"/>
  <c r="R136" i="29"/>
  <c r="R130" i="32"/>
  <c r="S137" i="29"/>
  <c r="S141" i="29"/>
  <c r="S140" i="29"/>
  <c r="S139" i="29"/>
  <c r="S142" i="29"/>
  <c r="S138" i="29"/>
  <c r="T65" i="28"/>
  <c r="S143" i="29"/>
  <c r="S136" i="29"/>
  <c r="S130" i="32"/>
  <c r="T137" i="29"/>
  <c r="T141" i="29"/>
  <c r="T140" i="29"/>
  <c r="T139" i="29"/>
  <c r="T142" i="29"/>
  <c r="T138" i="29"/>
  <c r="U65" i="28"/>
  <c r="T143" i="29"/>
  <c r="T136" i="29"/>
  <c r="T130" i="32"/>
  <c r="M131" i="32"/>
  <c r="N131" i="32"/>
  <c r="O131" i="32"/>
  <c r="P131" i="32"/>
  <c r="Q131" i="32"/>
  <c r="R131" i="32"/>
  <c r="S131" i="32"/>
  <c r="T131" i="32"/>
  <c r="M132" i="32"/>
  <c r="N132" i="32"/>
  <c r="O132" i="32"/>
  <c r="P132" i="32"/>
  <c r="Q132" i="32"/>
  <c r="R132" i="32"/>
  <c r="S132" i="32"/>
  <c r="T132" i="32"/>
  <c r="M133" i="32"/>
  <c r="N133" i="32"/>
  <c r="O133" i="32"/>
  <c r="P133" i="32"/>
  <c r="Q133" i="32"/>
  <c r="R133" i="32"/>
  <c r="S133" i="32"/>
  <c r="T133" i="32"/>
  <c r="M134" i="32"/>
  <c r="N134" i="32"/>
  <c r="O134" i="32"/>
  <c r="P134" i="32"/>
  <c r="Q134" i="32"/>
  <c r="R134" i="32"/>
  <c r="S134" i="32"/>
  <c r="T134" i="32"/>
  <c r="M135" i="32"/>
  <c r="N135" i="32"/>
  <c r="O135" i="32"/>
  <c r="P135" i="32"/>
  <c r="Q135" i="32"/>
  <c r="R135" i="32"/>
  <c r="S135" i="32"/>
  <c r="T135" i="32"/>
  <c r="M136" i="32"/>
  <c r="N136" i="32"/>
  <c r="O136" i="32"/>
  <c r="P136" i="32"/>
  <c r="Q136" i="32"/>
  <c r="R136" i="32"/>
  <c r="S136" i="32"/>
  <c r="T136" i="32"/>
  <c r="M137" i="32"/>
  <c r="N137" i="32"/>
  <c r="O137" i="32"/>
  <c r="P137" i="32"/>
  <c r="Q137" i="32"/>
  <c r="R137" i="32"/>
  <c r="S137" i="32"/>
  <c r="T137" i="32"/>
  <c r="M156" i="29"/>
  <c r="M147" i="29"/>
  <c r="M149" i="29"/>
  <c r="M150" i="29"/>
  <c r="M151" i="29"/>
  <c r="M148" i="29"/>
  <c r="M153" i="29"/>
  <c r="M154" i="29"/>
  <c r="M155" i="29"/>
  <c r="M152" i="29"/>
  <c r="M146" i="29"/>
  <c r="N48" i="28"/>
  <c r="M157" i="29"/>
  <c r="M145" i="29"/>
  <c r="M138" i="32"/>
  <c r="N156" i="29"/>
  <c r="N147" i="29"/>
  <c r="N149" i="29"/>
  <c r="N150" i="29"/>
  <c r="N151" i="29"/>
  <c r="N148" i="29"/>
  <c r="N153" i="29"/>
  <c r="N154" i="29"/>
  <c r="N155" i="29"/>
  <c r="N152" i="29"/>
  <c r="N146" i="29"/>
  <c r="O48" i="28"/>
  <c r="N157" i="29"/>
  <c r="N145" i="29"/>
  <c r="N138" i="32"/>
  <c r="O156" i="29"/>
  <c r="O147" i="29"/>
  <c r="O149" i="29"/>
  <c r="O150" i="29"/>
  <c r="O151" i="29"/>
  <c r="O148" i="29"/>
  <c r="O153" i="29"/>
  <c r="O154" i="29"/>
  <c r="O155" i="29"/>
  <c r="O152" i="29"/>
  <c r="O146" i="29"/>
  <c r="P48" i="28"/>
  <c r="O157" i="29"/>
  <c r="O145" i="29"/>
  <c r="O138" i="32"/>
  <c r="P156" i="29"/>
  <c r="P147" i="29"/>
  <c r="P149" i="29"/>
  <c r="P150" i="29"/>
  <c r="P151" i="29"/>
  <c r="P148" i="29"/>
  <c r="P153" i="29"/>
  <c r="P154" i="29"/>
  <c r="P155" i="29"/>
  <c r="P152" i="29"/>
  <c r="P146" i="29"/>
  <c r="Q48" i="28"/>
  <c r="P157" i="29"/>
  <c r="P145" i="29"/>
  <c r="P138" i="32"/>
  <c r="Q156" i="29"/>
  <c r="Q147" i="29"/>
  <c r="Q149" i="29"/>
  <c r="Q150" i="29"/>
  <c r="Q151" i="29"/>
  <c r="Q148" i="29"/>
  <c r="Q153" i="29"/>
  <c r="Q154" i="29"/>
  <c r="Q155" i="29"/>
  <c r="Q152" i="29"/>
  <c r="Q146" i="29"/>
  <c r="R48" i="28"/>
  <c r="Q157" i="29"/>
  <c r="Q145" i="29"/>
  <c r="Q138" i="32"/>
  <c r="R156" i="29"/>
  <c r="R147" i="29"/>
  <c r="R149" i="29"/>
  <c r="R150" i="29"/>
  <c r="R151" i="29"/>
  <c r="R148" i="29"/>
  <c r="R153" i="29"/>
  <c r="R154" i="29"/>
  <c r="R155" i="29"/>
  <c r="R152" i="29"/>
  <c r="R146" i="29"/>
  <c r="S48" i="28"/>
  <c r="R157" i="29"/>
  <c r="R145" i="29"/>
  <c r="R138" i="32"/>
  <c r="S156" i="29"/>
  <c r="S147" i="29"/>
  <c r="S149" i="29"/>
  <c r="S150" i="29"/>
  <c r="S151" i="29"/>
  <c r="S148" i="29"/>
  <c r="S153" i="29"/>
  <c r="S154" i="29"/>
  <c r="S155" i="29"/>
  <c r="S152" i="29"/>
  <c r="S146" i="29"/>
  <c r="T48" i="28"/>
  <c r="S157" i="29"/>
  <c r="S145" i="29"/>
  <c r="S138" i="32"/>
  <c r="T156" i="29"/>
  <c r="T147" i="29"/>
  <c r="T149" i="29"/>
  <c r="T150" i="29"/>
  <c r="T151" i="29"/>
  <c r="T148" i="29"/>
  <c r="T153" i="29"/>
  <c r="T154" i="29"/>
  <c r="T155" i="29"/>
  <c r="T152" i="29"/>
  <c r="T146" i="29"/>
  <c r="U48" i="28"/>
  <c r="T157" i="29"/>
  <c r="T145" i="29"/>
  <c r="T138" i="32"/>
  <c r="M139" i="32"/>
  <c r="N139" i="32"/>
  <c r="O139" i="32"/>
  <c r="P139" i="32"/>
  <c r="Q139" i="32"/>
  <c r="R139" i="32"/>
  <c r="S139" i="32"/>
  <c r="T139" i="32"/>
  <c r="M140" i="32"/>
  <c r="N140" i="32"/>
  <c r="O140" i="32"/>
  <c r="P140" i="32"/>
  <c r="Q140" i="32"/>
  <c r="R140" i="32"/>
  <c r="S140" i="32"/>
  <c r="T140" i="32"/>
  <c r="M141" i="32"/>
  <c r="N141" i="32"/>
  <c r="O141" i="32"/>
  <c r="P141" i="32"/>
  <c r="Q141" i="32"/>
  <c r="R141" i="32"/>
  <c r="S141" i="32"/>
  <c r="T141" i="32"/>
  <c r="M142" i="32"/>
  <c r="N142" i="32"/>
  <c r="O142" i="32"/>
  <c r="P142" i="32"/>
  <c r="Q142" i="32"/>
  <c r="R142" i="32"/>
  <c r="S142" i="32"/>
  <c r="T142" i="32"/>
  <c r="M143" i="32"/>
  <c r="N143" i="32"/>
  <c r="O143" i="32"/>
  <c r="P143" i="32"/>
  <c r="Q143" i="32"/>
  <c r="R143" i="32"/>
  <c r="S143" i="32"/>
  <c r="T143" i="32"/>
  <c r="M144" i="32"/>
  <c r="N144" i="32"/>
  <c r="O144" i="32"/>
  <c r="P144" i="32"/>
  <c r="Q144" i="32"/>
  <c r="R144" i="32"/>
  <c r="S144" i="32"/>
  <c r="T144" i="32"/>
  <c r="M145" i="32"/>
  <c r="N145" i="32"/>
  <c r="O145" i="32"/>
  <c r="P145" i="32"/>
  <c r="Q145" i="32"/>
  <c r="R145" i="32"/>
  <c r="S145" i="32"/>
  <c r="T145" i="32"/>
  <c r="M146" i="32"/>
  <c r="N146" i="32"/>
  <c r="O146" i="32"/>
  <c r="P146" i="32"/>
  <c r="Q146" i="32"/>
  <c r="R146" i="32"/>
  <c r="S146" i="32"/>
  <c r="T146" i="32"/>
  <c r="M147" i="32"/>
  <c r="N147" i="32"/>
  <c r="O147" i="32"/>
  <c r="P147" i="32"/>
  <c r="Q147" i="32"/>
  <c r="R147" i="32"/>
  <c r="S147" i="32"/>
  <c r="T147" i="32"/>
  <c r="M148" i="32"/>
  <c r="N148" i="32"/>
  <c r="O148" i="32"/>
  <c r="P148" i="32"/>
  <c r="Q148" i="32"/>
  <c r="R148" i="32"/>
  <c r="S148" i="32"/>
  <c r="T148" i="32"/>
  <c r="M149" i="32"/>
  <c r="N149" i="32"/>
  <c r="O149" i="32"/>
  <c r="P149" i="32"/>
  <c r="Q149" i="32"/>
  <c r="R149" i="32"/>
  <c r="S149" i="32"/>
  <c r="T149" i="32"/>
  <c r="M150" i="32"/>
  <c r="N150" i="32"/>
  <c r="O150" i="32"/>
  <c r="P150" i="32"/>
  <c r="Q150" i="32"/>
  <c r="R150" i="32"/>
  <c r="S150" i="32"/>
  <c r="T150" i="32"/>
  <c r="U1" i="32"/>
  <c r="T1" i="32"/>
  <c r="O1" i="32"/>
  <c r="P1" i="32"/>
  <c r="Q1" i="32"/>
  <c r="R1" i="32"/>
  <c r="S1" i="32"/>
  <c r="M1" i="32"/>
  <c r="N1" i="32"/>
  <c r="C59" i="28"/>
  <c r="B15" i="29"/>
  <c r="X28" i="19"/>
  <c r="X27" i="19"/>
  <c r="X26" i="19"/>
  <c r="X25" i="19"/>
  <c r="X24" i="19"/>
  <c r="X23" i="19"/>
  <c r="X22" i="19"/>
  <c r="X21" i="19"/>
  <c r="X20" i="19"/>
  <c r="X19" i="19"/>
  <c r="X18" i="19"/>
  <c r="X17" i="19"/>
  <c r="X16" i="19"/>
  <c r="X15" i="19"/>
  <c r="X14" i="19"/>
  <c r="X13" i="19"/>
  <c r="X12" i="19"/>
  <c r="X11" i="19"/>
  <c r="X10" i="19"/>
  <c r="X9" i="19"/>
  <c r="X8" i="19"/>
  <c r="X7" i="19"/>
  <c r="X6" i="19"/>
  <c r="X5" i="19"/>
  <c r="X4" i="19"/>
  <c r="X3" i="19"/>
  <c r="V20" i="41"/>
  <c r="W57" i="28"/>
  <c r="V126" i="29"/>
  <c r="V125" i="29"/>
  <c r="V128" i="29"/>
  <c r="V127" i="29"/>
  <c r="V124" i="29"/>
  <c r="V11" i="41"/>
  <c r="G27" i="19"/>
  <c r="I27" i="19"/>
  <c r="K27" i="19"/>
  <c r="V21" i="41"/>
  <c r="W59" i="28"/>
  <c r="V147" i="29"/>
  <c r="W43" i="28"/>
  <c r="V149" i="29"/>
  <c r="W49" i="28"/>
  <c r="V150" i="29"/>
  <c r="W46" i="28"/>
  <c r="V151" i="29"/>
  <c r="V148" i="29"/>
  <c r="W52" i="28"/>
  <c r="V153" i="29"/>
  <c r="W54" i="28"/>
  <c r="V154" i="29"/>
  <c r="V155" i="29"/>
  <c r="V152" i="29"/>
  <c r="V146" i="29"/>
  <c r="W44" i="28"/>
  <c r="V9" i="29"/>
  <c r="V15" i="29"/>
  <c r="V17" i="29"/>
  <c r="V18" i="29"/>
  <c r="V19" i="29"/>
  <c r="V16" i="29"/>
  <c r="V21" i="29"/>
  <c r="V22" i="29"/>
  <c r="V23" i="29"/>
  <c r="V20" i="29"/>
  <c r="V14" i="29"/>
  <c r="V11" i="29"/>
  <c r="V13" i="29"/>
  <c r="V12" i="29"/>
  <c r="V10" i="29"/>
  <c r="W56" i="28"/>
  <c r="V27" i="29"/>
  <c r="V26" i="29"/>
  <c r="V25" i="29"/>
  <c r="W61" i="28"/>
  <c r="V29" i="29"/>
  <c r="V30" i="29"/>
  <c r="V28" i="29"/>
  <c r="W53" i="28"/>
  <c r="V33" i="29"/>
  <c r="V32" i="29"/>
  <c r="V31" i="29"/>
  <c r="V24" i="29"/>
  <c r="V37" i="29"/>
  <c r="V36" i="29"/>
  <c r="V35" i="29"/>
  <c r="W55" i="28"/>
  <c r="V40" i="29"/>
  <c r="V39" i="29"/>
  <c r="V38" i="29"/>
  <c r="V34" i="29"/>
  <c r="V8" i="29"/>
  <c r="V156" i="29"/>
  <c r="W48" i="28"/>
  <c r="V157" i="29"/>
  <c r="V145" i="29"/>
  <c r="V17" i="41"/>
  <c r="V56" i="29"/>
  <c r="V55" i="29"/>
  <c r="V54" i="29"/>
  <c r="V57" i="29"/>
  <c r="V53" i="29"/>
  <c r="V15" i="41"/>
  <c r="V137" i="29"/>
  <c r="V141" i="29"/>
  <c r="V140" i="29"/>
  <c r="V139" i="29"/>
  <c r="V142" i="29"/>
  <c r="V138" i="29"/>
  <c r="W65" i="28"/>
  <c r="V143" i="29"/>
  <c r="V136" i="29"/>
  <c r="V13" i="41"/>
  <c r="V130" i="29"/>
  <c r="V134" i="29"/>
  <c r="V133" i="29"/>
  <c r="V132" i="29"/>
  <c r="V135" i="29"/>
  <c r="V131" i="29"/>
  <c r="V129" i="29"/>
  <c r="V12" i="41"/>
  <c r="W62" i="28"/>
  <c r="V122" i="29"/>
  <c r="V123" i="29"/>
  <c r="V121" i="29"/>
  <c r="V10" i="41"/>
  <c r="V102" i="29"/>
  <c r="V101" i="29"/>
  <c r="V100" i="29"/>
  <c r="V103" i="29"/>
  <c r="V99" i="29"/>
  <c r="V106" i="29"/>
  <c r="V108" i="29"/>
  <c r="V109" i="29"/>
  <c r="V110" i="29"/>
  <c r="V107" i="29"/>
  <c r="V112" i="29"/>
  <c r="V113" i="29"/>
  <c r="V114" i="29"/>
  <c r="V111" i="29"/>
  <c r="V105" i="29"/>
  <c r="V115" i="29"/>
  <c r="V104" i="29"/>
  <c r="V117" i="29"/>
  <c r="W50" i="28"/>
  <c r="V119" i="29"/>
  <c r="V120" i="29"/>
  <c r="V118" i="29"/>
  <c r="V116" i="29"/>
  <c r="V98" i="29"/>
  <c r="V9" i="41"/>
  <c r="V87" i="29"/>
  <c r="V89" i="29"/>
  <c r="V90" i="29"/>
  <c r="V91" i="29"/>
  <c r="V88" i="29"/>
  <c r="V93" i="29"/>
  <c r="V94" i="29"/>
  <c r="V95" i="29"/>
  <c r="V92" i="29"/>
  <c r="V86" i="29"/>
  <c r="V96" i="29"/>
  <c r="V85" i="29"/>
  <c r="V97" i="29"/>
  <c r="V84" i="29"/>
  <c r="V8" i="41"/>
  <c r="W58" i="28"/>
  <c r="V80" i="29"/>
  <c r="W64" i="28"/>
  <c r="V81" i="29"/>
  <c r="V79" i="29"/>
  <c r="V83" i="29"/>
  <c r="V82" i="29"/>
  <c r="V78" i="29"/>
  <c r="V7" i="41"/>
  <c r="V75" i="29"/>
  <c r="W63" i="28"/>
  <c r="V76" i="29"/>
  <c r="V77" i="29"/>
  <c r="V74" i="29"/>
  <c r="V6" i="41"/>
  <c r="V72" i="29"/>
  <c r="V73" i="29"/>
  <c r="V71" i="29"/>
  <c r="V5" i="41"/>
  <c r="V44" i="29"/>
  <c r="W47" i="28"/>
  <c r="V45" i="29"/>
  <c r="V48" i="29"/>
  <c r="V47" i="29"/>
  <c r="V46" i="29"/>
  <c r="V43" i="29"/>
  <c r="V50" i="29"/>
  <c r="V51" i="29"/>
  <c r="W51" i="28"/>
  <c r="V52" i="29"/>
  <c r="V49" i="29"/>
  <c r="V42" i="29"/>
  <c r="W45" i="28"/>
  <c r="V61" i="29"/>
  <c r="W42" i="28"/>
  <c r="V62" i="29"/>
  <c r="V60" i="29"/>
  <c r="V63" i="29"/>
  <c r="V64" i="29"/>
  <c r="V59" i="29"/>
  <c r="V66" i="29"/>
  <c r="V67" i="29"/>
  <c r="V65" i="29"/>
  <c r="V69" i="29"/>
  <c r="V70" i="29"/>
  <c r="V68" i="29"/>
  <c r="V58" i="29"/>
  <c r="V41" i="29"/>
  <c r="V4" i="41"/>
  <c r="G28" i="19"/>
  <c r="I28" i="19"/>
  <c r="K28" i="19"/>
  <c r="B20" i="41"/>
  <c r="C20" i="41"/>
  <c r="D20" i="41"/>
  <c r="G20" i="41"/>
  <c r="I20" i="41"/>
  <c r="J20" i="41"/>
  <c r="K20" i="41"/>
  <c r="L20" i="41"/>
  <c r="M20" i="41"/>
  <c r="N20" i="41"/>
  <c r="O20" i="41"/>
  <c r="P20" i="41"/>
  <c r="Q20" i="41"/>
  <c r="R20" i="41"/>
  <c r="S20" i="41"/>
  <c r="T20" i="41"/>
  <c r="U20" i="41"/>
  <c r="O7" i="19"/>
  <c r="AA20" i="41"/>
  <c r="D46" i="28"/>
  <c r="D43" i="28"/>
  <c r="D42" i="28"/>
  <c r="D45" i="28"/>
  <c r="D49" i="28"/>
  <c r="C8" i="39"/>
  <c r="C16" i="39"/>
  <c r="D8" i="39"/>
  <c r="D16" i="39"/>
  <c r="E8" i="39"/>
  <c r="E16" i="39"/>
  <c r="F8" i="39"/>
  <c r="F16" i="39"/>
  <c r="C19" i="39"/>
  <c r="D19" i="39"/>
  <c r="E19" i="39"/>
  <c r="F19" i="39"/>
  <c r="C21" i="39"/>
  <c r="D21" i="39"/>
  <c r="E21" i="39"/>
  <c r="F21" i="39"/>
  <c r="C22" i="39"/>
  <c r="D22" i="39"/>
  <c r="E22" i="39"/>
  <c r="F22" i="39"/>
  <c r="E3" i="11"/>
  <c r="AB4" i="41"/>
  <c r="AC4" i="41"/>
  <c r="E7" i="11"/>
  <c r="AB5" i="41"/>
  <c r="AC5" i="41"/>
  <c r="E5" i="11"/>
  <c r="AB6" i="41"/>
  <c r="AC6" i="41"/>
  <c r="E8" i="11"/>
  <c r="AB7" i="41"/>
  <c r="AC7" i="41"/>
  <c r="E4" i="11"/>
  <c r="AB8" i="41"/>
  <c r="AC8" i="41"/>
  <c r="E9" i="11"/>
  <c r="AB9" i="41"/>
  <c r="AC9" i="41"/>
  <c r="E10" i="11"/>
  <c r="AB10" i="41"/>
  <c r="AC10" i="41"/>
  <c r="E11" i="11"/>
  <c r="AB11" i="41"/>
  <c r="AC11" i="41"/>
  <c r="E12" i="11"/>
  <c r="AB12" i="41"/>
  <c r="AC12" i="41"/>
  <c r="E13" i="11"/>
  <c r="AB13" i="41"/>
  <c r="AC13" i="41"/>
  <c r="W60" i="28"/>
  <c r="V18" i="41"/>
  <c r="V19" i="41"/>
  <c r="V23" i="41"/>
  <c r="V144" i="29"/>
  <c r="G26" i="19"/>
  <c r="I26" i="19"/>
  <c r="K26" i="19"/>
  <c r="K44" i="28"/>
  <c r="K59" i="28"/>
  <c r="K43" i="28"/>
  <c r="K49" i="28"/>
  <c r="K46" i="28"/>
  <c r="K52" i="28"/>
  <c r="K54" i="28"/>
  <c r="K56" i="28"/>
  <c r="K61" i="28"/>
  <c r="K53" i="28"/>
  <c r="K55" i="28"/>
  <c r="K47" i="28"/>
  <c r="K50" i="28"/>
  <c r="K51" i="28"/>
  <c r="K45" i="28"/>
  <c r="K42" i="28"/>
  <c r="AD4" i="41"/>
  <c r="U4" i="41"/>
  <c r="U5" i="41"/>
  <c r="K63" i="28"/>
  <c r="U6" i="41"/>
  <c r="K58" i="28"/>
  <c r="K64" i="28"/>
  <c r="U7" i="41"/>
  <c r="AD8" i="41"/>
  <c r="U8" i="41"/>
  <c r="AD9" i="41"/>
  <c r="U9" i="41"/>
  <c r="K62" i="28"/>
  <c r="U10" i="41"/>
  <c r="K57" i="28"/>
  <c r="U11" i="41"/>
  <c r="U12" i="41"/>
  <c r="K65" i="28"/>
  <c r="U13" i="41"/>
  <c r="U14" i="41"/>
  <c r="U15" i="41"/>
  <c r="U16" i="41"/>
  <c r="K48" i="28"/>
  <c r="U17" i="41"/>
  <c r="K60" i="28"/>
  <c r="V60" i="28"/>
  <c r="U18" i="41"/>
  <c r="U19" i="41"/>
  <c r="U21" i="41"/>
  <c r="U23" i="41"/>
  <c r="U144" i="29"/>
  <c r="C19" i="41"/>
  <c r="E19" i="41"/>
  <c r="G25" i="19"/>
  <c r="I25" i="19"/>
  <c r="K25" i="19"/>
  <c r="T4" i="41"/>
  <c r="T5" i="41"/>
  <c r="T6" i="41"/>
  <c r="T7" i="41"/>
  <c r="T8" i="41"/>
  <c r="T9" i="41"/>
  <c r="T10" i="41"/>
  <c r="T11" i="41"/>
  <c r="T12" i="41"/>
  <c r="T13" i="41"/>
  <c r="T14" i="41"/>
  <c r="T15" i="41"/>
  <c r="T16" i="41"/>
  <c r="T17" i="41"/>
  <c r="P60" i="28"/>
  <c r="U60" i="28"/>
  <c r="T18" i="41"/>
  <c r="T19" i="41"/>
  <c r="T21" i="41"/>
  <c r="T23" i="41"/>
  <c r="T144" i="29"/>
  <c r="G24" i="19"/>
  <c r="I24" i="19"/>
  <c r="K24" i="19"/>
  <c r="L44" i="28"/>
  <c r="L59" i="28"/>
  <c r="L43" i="28"/>
  <c r="L49" i="28"/>
  <c r="L46" i="28"/>
  <c r="L52" i="28"/>
  <c r="L54" i="28"/>
  <c r="L56" i="28"/>
  <c r="L61" i="28"/>
  <c r="L53" i="28"/>
  <c r="L55" i="28"/>
  <c r="L47" i="28"/>
  <c r="L50" i="28"/>
  <c r="L51" i="28"/>
  <c r="L45" i="28"/>
  <c r="L42" i="28"/>
  <c r="S4" i="41"/>
  <c r="S5" i="41"/>
  <c r="L63" i="28"/>
  <c r="S6" i="41"/>
  <c r="L58" i="28"/>
  <c r="L64" i="28"/>
  <c r="S7" i="41"/>
  <c r="S8" i="41"/>
  <c r="S9" i="41"/>
  <c r="L62" i="28"/>
  <c r="S10" i="41"/>
  <c r="L57" i="28"/>
  <c r="S11" i="41"/>
  <c r="S12" i="41"/>
  <c r="L65" i="28"/>
  <c r="S13" i="41"/>
  <c r="S14" i="41"/>
  <c r="S15" i="41"/>
  <c r="S16" i="41"/>
  <c r="L48" i="28"/>
  <c r="S17" i="41"/>
  <c r="L60" i="28"/>
  <c r="T60" i="28"/>
  <c r="S18" i="41"/>
  <c r="S19" i="41"/>
  <c r="S21" i="41"/>
  <c r="S23" i="41"/>
  <c r="S144" i="29"/>
  <c r="G23" i="19"/>
  <c r="I23" i="19"/>
  <c r="K23" i="19"/>
  <c r="C44" i="28"/>
  <c r="C43" i="28"/>
  <c r="C49" i="28"/>
  <c r="C46" i="28"/>
  <c r="C52" i="28"/>
  <c r="C54" i="28"/>
  <c r="C56" i="28"/>
  <c r="C61" i="28"/>
  <c r="C53" i="28"/>
  <c r="C55" i="28"/>
  <c r="C47" i="28"/>
  <c r="C50" i="28"/>
  <c r="C51" i="28"/>
  <c r="C45" i="28"/>
  <c r="C42" i="28"/>
  <c r="R4" i="41"/>
  <c r="R5" i="41"/>
  <c r="C63" i="28"/>
  <c r="R6" i="41"/>
  <c r="C58" i="28"/>
  <c r="C64" i="28"/>
  <c r="R7" i="41"/>
  <c r="R8" i="41"/>
  <c r="R9" i="41"/>
  <c r="C62" i="28"/>
  <c r="R10" i="41"/>
  <c r="C57" i="28"/>
  <c r="R11" i="41"/>
  <c r="R12" i="41"/>
  <c r="C65" i="28"/>
  <c r="R13" i="41"/>
  <c r="R14" i="41"/>
  <c r="R15" i="41"/>
  <c r="R16" i="41"/>
  <c r="C48" i="28"/>
  <c r="R17" i="41"/>
  <c r="C60" i="28"/>
  <c r="S60" i="28"/>
  <c r="R18" i="41"/>
  <c r="R19" i="41"/>
  <c r="R21" i="41"/>
  <c r="R23" i="41"/>
  <c r="R144" i="29"/>
  <c r="G22" i="19"/>
  <c r="I22" i="19"/>
  <c r="K22" i="19"/>
  <c r="D59" i="28"/>
  <c r="D52" i="28"/>
  <c r="D54" i="28"/>
  <c r="D44" i="28"/>
  <c r="D56" i="28"/>
  <c r="D61" i="28"/>
  <c r="D53" i="28"/>
  <c r="D55" i="28"/>
  <c r="D47" i="28"/>
  <c r="D50" i="28"/>
  <c r="D51" i="28"/>
  <c r="Q4" i="41"/>
  <c r="Q5" i="41"/>
  <c r="D63" i="28"/>
  <c r="Q6" i="41"/>
  <c r="D58" i="28"/>
  <c r="D64" i="28"/>
  <c r="Q7" i="41"/>
  <c r="Q8" i="41"/>
  <c r="Q9" i="41"/>
  <c r="D62" i="28"/>
  <c r="Q10" i="41"/>
  <c r="D57" i="28"/>
  <c r="Q11" i="41"/>
  <c r="Q12" i="41"/>
  <c r="D65" i="28"/>
  <c r="Q13" i="41"/>
  <c r="Q14" i="41"/>
  <c r="Q15" i="41"/>
  <c r="Q16" i="41"/>
  <c r="D48" i="28"/>
  <c r="Q17" i="41"/>
  <c r="D60" i="28"/>
  <c r="R60" i="28"/>
  <c r="Q18" i="41"/>
  <c r="Q19" i="41"/>
  <c r="Q21" i="41"/>
  <c r="Q23" i="41"/>
  <c r="Q144" i="29"/>
  <c r="G21" i="19"/>
  <c r="I21" i="19"/>
  <c r="K21" i="19"/>
  <c r="P4" i="41"/>
  <c r="P5" i="41"/>
  <c r="P6" i="41"/>
  <c r="P7" i="41"/>
  <c r="P8" i="41"/>
  <c r="P9" i="41"/>
  <c r="P10" i="41"/>
  <c r="P11" i="41"/>
  <c r="P12" i="41"/>
  <c r="P13" i="41"/>
  <c r="P14" i="41"/>
  <c r="P15" i="41"/>
  <c r="P16" i="41"/>
  <c r="P17" i="41"/>
  <c r="Q60" i="28"/>
  <c r="P18" i="41"/>
  <c r="P19" i="41"/>
  <c r="P21" i="41"/>
  <c r="P23" i="41"/>
  <c r="P144" i="29"/>
  <c r="O21" i="41"/>
  <c r="G20" i="19"/>
  <c r="I20" i="19"/>
  <c r="K20" i="19"/>
  <c r="E44" i="28"/>
  <c r="E59" i="28"/>
  <c r="E43" i="28"/>
  <c r="E49" i="28"/>
  <c r="E46" i="28"/>
  <c r="E52" i="28"/>
  <c r="E54" i="28"/>
  <c r="E56" i="28"/>
  <c r="E61" i="28"/>
  <c r="E53" i="28"/>
  <c r="E55" i="28"/>
  <c r="E47" i="28"/>
  <c r="E50" i="28"/>
  <c r="E51" i="28"/>
  <c r="E45" i="28"/>
  <c r="E42" i="28"/>
  <c r="O4" i="41"/>
  <c r="O5" i="41"/>
  <c r="E63" i="28"/>
  <c r="O6" i="41"/>
  <c r="E58" i="28"/>
  <c r="E64" i="28"/>
  <c r="O7" i="41"/>
  <c r="O8" i="41"/>
  <c r="O9" i="41"/>
  <c r="E62" i="28"/>
  <c r="O10" i="41"/>
  <c r="E57" i="28"/>
  <c r="O11" i="41"/>
  <c r="O12" i="41"/>
  <c r="E65" i="28"/>
  <c r="O13" i="41"/>
  <c r="O14" i="41"/>
  <c r="O15" i="41"/>
  <c r="O16" i="41"/>
  <c r="E48" i="28"/>
  <c r="O17" i="41"/>
  <c r="E60" i="28"/>
  <c r="O18" i="41"/>
  <c r="O19" i="41"/>
  <c r="O23" i="41"/>
  <c r="O144" i="29"/>
  <c r="M60" i="28"/>
  <c r="H4" i="39"/>
  <c r="N60" i="28"/>
  <c r="H5" i="39"/>
  <c r="H6" i="39"/>
  <c r="H7" i="39"/>
  <c r="H8" i="39"/>
  <c r="J4" i="39"/>
  <c r="M4" i="39"/>
  <c r="K19" i="19"/>
  <c r="I19" i="19"/>
  <c r="G19" i="19"/>
  <c r="N23" i="41"/>
  <c r="N21" i="41"/>
  <c r="N19" i="41"/>
  <c r="O60" i="28"/>
  <c r="N18" i="41"/>
  <c r="M59" i="28"/>
  <c r="M43" i="28"/>
  <c r="M49" i="28"/>
  <c r="M46" i="28"/>
  <c r="M52" i="28"/>
  <c r="M54" i="28"/>
  <c r="M56" i="28"/>
  <c r="M61" i="28"/>
  <c r="M53" i="28"/>
  <c r="M55" i="28"/>
  <c r="M44" i="28"/>
  <c r="M48" i="28"/>
  <c r="N17" i="41"/>
  <c r="N16" i="41"/>
  <c r="N15" i="41"/>
  <c r="M57" i="28"/>
  <c r="M65" i="28"/>
  <c r="N13" i="41"/>
  <c r="N12" i="41"/>
  <c r="N11" i="41"/>
  <c r="M62" i="28"/>
  <c r="N10" i="41"/>
  <c r="M50" i="28"/>
  <c r="N9" i="41"/>
  <c r="N8" i="41"/>
  <c r="M58" i="28"/>
  <c r="M64" i="28"/>
  <c r="N7" i="41"/>
  <c r="M63" i="28"/>
  <c r="N6" i="41"/>
  <c r="N5" i="41"/>
  <c r="M47" i="28"/>
  <c r="M51" i="28"/>
  <c r="M45" i="28"/>
  <c r="M42" i="28"/>
  <c r="N4" i="41"/>
  <c r="C11" i="29"/>
  <c r="C13" i="29"/>
  <c r="C12" i="29"/>
  <c r="G59" i="28"/>
  <c r="C15" i="29"/>
  <c r="G43" i="28"/>
  <c r="C17" i="29"/>
  <c r="G49" i="28"/>
  <c r="C18" i="29"/>
  <c r="G46" i="28"/>
  <c r="C19" i="29"/>
  <c r="C16" i="29"/>
  <c r="G52" i="28"/>
  <c r="C21" i="29"/>
  <c r="G54" i="28"/>
  <c r="C22" i="29"/>
  <c r="C23" i="29"/>
  <c r="C20" i="29"/>
  <c r="C14" i="29"/>
  <c r="C10" i="29"/>
  <c r="C26" i="29"/>
  <c r="G56" i="28"/>
  <c r="C27" i="29"/>
  <c r="C25" i="29"/>
  <c r="C30" i="29"/>
  <c r="G61" i="28"/>
  <c r="C29" i="29"/>
  <c r="C28" i="29"/>
  <c r="C32" i="29"/>
  <c r="G53" i="28"/>
  <c r="C33" i="29"/>
  <c r="C31" i="29"/>
  <c r="C24" i="29"/>
  <c r="C39" i="29"/>
  <c r="G55" i="28"/>
  <c r="C40" i="29"/>
  <c r="C38" i="29"/>
  <c r="C36" i="29"/>
  <c r="C37" i="29"/>
  <c r="C35" i="29"/>
  <c r="C34" i="29"/>
  <c r="G44" i="28"/>
  <c r="C9" i="29"/>
  <c r="C8" i="29"/>
  <c r="C44" i="29"/>
  <c r="C47" i="29"/>
  <c r="C48" i="29"/>
  <c r="C46" i="29"/>
  <c r="G47" i="28"/>
  <c r="C45" i="29"/>
  <c r="C43" i="29"/>
  <c r="C50" i="29"/>
  <c r="G50" i="28"/>
  <c r="C51" i="29"/>
  <c r="G51" i="28"/>
  <c r="C52" i="29"/>
  <c r="C49" i="29"/>
  <c r="C42" i="29"/>
  <c r="C63" i="29"/>
  <c r="C64" i="29"/>
  <c r="G45" i="28"/>
  <c r="C61" i="29"/>
  <c r="G42" i="28"/>
  <c r="C62" i="29"/>
  <c r="C60" i="29"/>
  <c r="C59" i="29"/>
  <c r="C67" i="29"/>
  <c r="C66" i="29"/>
  <c r="C65" i="29"/>
  <c r="C70" i="29"/>
  <c r="C69" i="29"/>
  <c r="C68" i="29"/>
  <c r="C58" i="29"/>
  <c r="C41" i="29"/>
  <c r="C4" i="41"/>
  <c r="E11" i="29"/>
  <c r="E13" i="29"/>
  <c r="E12" i="29"/>
  <c r="I59" i="28"/>
  <c r="F59" i="28"/>
  <c r="E15" i="29"/>
  <c r="I43" i="28"/>
  <c r="F43" i="28"/>
  <c r="E17" i="29"/>
  <c r="I49" i="28"/>
  <c r="F49" i="28"/>
  <c r="E18" i="29"/>
  <c r="I46" i="28"/>
  <c r="F46" i="28"/>
  <c r="E19" i="29"/>
  <c r="E16" i="29"/>
  <c r="I52" i="28"/>
  <c r="F52" i="28"/>
  <c r="E21" i="29"/>
  <c r="I54" i="28"/>
  <c r="F54" i="28"/>
  <c r="E22" i="29"/>
  <c r="E23" i="29"/>
  <c r="E20" i="29"/>
  <c r="E14" i="29"/>
  <c r="E10" i="29"/>
  <c r="E26" i="29"/>
  <c r="I56" i="28"/>
  <c r="F56" i="28"/>
  <c r="E27" i="29"/>
  <c r="E25" i="29"/>
  <c r="E30" i="29"/>
  <c r="I61" i="28"/>
  <c r="F61" i="28"/>
  <c r="E29" i="29"/>
  <c r="E28" i="29"/>
  <c r="E32" i="29"/>
  <c r="I53" i="28"/>
  <c r="F53" i="28"/>
  <c r="E33" i="29"/>
  <c r="E31" i="29"/>
  <c r="E24" i="29"/>
  <c r="E39" i="29"/>
  <c r="I55" i="28"/>
  <c r="F55" i="28"/>
  <c r="E40" i="29"/>
  <c r="E38" i="29"/>
  <c r="E36" i="29"/>
  <c r="E37" i="29"/>
  <c r="E35" i="29"/>
  <c r="E34" i="29"/>
  <c r="I44" i="28"/>
  <c r="F44" i="28"/>
  <c r="E9" i="29"/>
  <c r="E8" i="29"/>
  <c r="E44" i="29"/>
  <c r="E47" i="29"/>
  <c r="E48" i="29"/>
  <c r="E46" i="29"/>
  <c r="I47" i="28"/>
  <c r="F47" i="28"/>
  <c r="E45" i="29"/>
  <c r="E43" i="29"/>
  <c r="E50" i="29"/>
  <c r="I50" i="28"/>
  <c r="F50" i="28"/>
  <c r="E51" i="29"/>
  <c r="I51" i="28"/>
  <c r="F51" i="28"/>
  <c r="E52" i="29"/>
  <c r="E49" i="29"/>
  <c r="E42" i="29"/>
  <c r="E63" i="29"/>
  <c r="E64" i="29"/>
  <c r="I45" i="28"/>
  <c r="F45" i="28"/>
  <c r="E61" i="29"/>
  <c r="I42" i="28"/>
  <c r="F42" i="28"/>
  <c r="E62" i="29"/>
  <c r="E60" i="29"/>
  <c r="E59" i="29"/>
  <c r="E67" i="29"/>
  <c r="E66" i="29"/>
  <c r="E65" i="29"/>
  <c r="E70" i="29"/>
  <c r="E69" i="29"/>
  <c r="E68" i="29"/>
  <c r="E58" i="29"/>
  <c r="E41" i="29"/>
  <c r="E4" i="41"/>
  <c r="W25" i="41"/>
  <c r="C15" i="41"/>
  <c r="E15" i="41"/>
  <c r="W4" i="41"/>
  <c r="C73" i="29"/>
  <c r="C72" i="29"/>
  <c r="C71" i="29"/>
  <c r="C5" i="41"/>
  <c r="E73" i="29"/>
  <c r="E72" i="29"/>
  <c r="E71" i="29"/>
  <c r="E5" i="41"/>
  <c r="W5" i="41"/>
  <c r="C77" i="29"/>
  <c r="C75" i="29"/>
  <c r="G63" i="28"/>
  <c r="C76" i="29"/>
  <c r="C74" i="29"/>
  <c r="C6" i="41"/>
  <c r="E77" i="29"/>
  <c r="E75" i="29"/>
  <c r="I63" i="28"/>
  <c r="F63" i="28"/>
  <c r="E76" i="29"/>
  <c r="E74" i="29"/>
  <c r="E6" i="41"/>
  <c r="W6" i="41"/>
  <c r="C83" i="29"/>
  <c r="C82" i="29"/>
  <c r="G58" i="28"/>
  <c r="C80" i="29"/>
  <c r="G64" i="28"/>
  <c r="C81" i="29"/>
  <c r="C79" i="29"/>
  <c r="C78" i="29"/>
  <c r="C7" i="41"/>
  <c r="E83" i="29"/>
  <c r="E82" i="29"/>
  <c r="I58" i="28"/>
  <c r="F58" i="28"/>
  <c r="E80" i="29"/>
  <c r="I64" i="28"/>
  <c r="F64" i="28"/>
  <c r="E81" i="29"/>
  <c r="E79" i="29"/>
  <c r="E78" i="29"/>
  <c r="E7" i="41"/>
  <c r="W7" i="41"/>
  <c r="C96" i="29"/>
  <c r="C87" i="29"/>
  <c r="C89" i="29"/>
  <c r="C90" i="29"/>
  <c r="C91" i="29"/>
  <c r="C88" i="29"/>
  <c r="C93" i="29"/>
  <c r="C94" i="29"/>
  <c r="C95" i="29"/>
  <c r="C92" i="29"/>
  <c r="C86" i="29"/>
  <c r="C85" i="29"/>
  <c r="C97" i="29"/>
  <c r="C84" i="29"/>
  <c r="C8" i="41"/>
  <c r="E96" i="29"/>
  <c r="E87" i="29"/>
  <c r="E89" i="29"/>
  <c r="E90" i="29"/>
  <c r="E91" i="29"/>
  <c r="E88" i="29"/>
  <c r="E93" i="29"/>
  <c r="E94" i="29"/>
  <c r="E95" i="29"/>
  <c r="E92" i="29"/>
  <c r="E86" i="29"/>
  <c r="E85" i="29"/>
  <c r="E97" i="29"/>
  <c r="E84" i="29"/>
  <c r="E8" i="41"/>
  <c r="W8" i="41"/>
  <c r="C115" i="29"/>
  <c r="C106" i="29"/>
  <c r="C108" i="29"/>
  <c r="C109" i="29"/>
  <c r="C110" i="29"/>
  <c r="C107" i="29"/>
  <c r="C112" i="29"/>
  <c r="C113" i="29"/>
  <c r="C114" i="29"/>
  <c r="C111" i="29"/>
  <c r="C105" i="29"/>
  <c r="C104" i="29"/>
  <c r="C117" i="29"/>
  <c r="C119" i="29"/>
  <c r="C120" i="29"/>
  <c r="C118" i="29"/>
  <c r="C116" i="29"/>
  <c r="C101" i="29"/>
  <c r="C102" i="29"/>
  <c r="C100" i="29"/>
  <c r="C103" i="29"/>
  <c r="C99" i="29"/>
  <c r="C98" i="29"/>
  <c r="C9" i="41"/>
  <c r="E115" i="29"/>
  <c r="E106" i="29"/>
  <c r="E108" i="29"/>
  <c r="E109" i="29"/>
  <c r="E110" i="29"/>
  <c r="E107" i="29"/>
  <c r="E112" i="29"/>
  <c r="E113" i="29"/>
  <c r="E114" i="29"/>
  <c r="E111" i="29"/>
  <c r="E105" i="29"/>
  <c r="E104" i="29"/>
  <c r="E117" i="29"/>
  <c r="E119" i="29"/>
  <c r="E120" i="29"/>
  <c r="E118" i="29"/>
  <c r="E116" i="29"/>
  <c r="E101" i="29"/>
  <c r="E102" i="29"/>
  <c r="E100" i="29"/>
  <c r="E103" i="29"/>
  <c r="E99" i="29"/>
  <c r="E98" i="29"/>
  <c r="E9" i="41"/>
  <c r="W9" i="41"/>
  <c r="C123" i="29"/>
  <c r="G62" i="28"/>
  <c r="C122" i="29"/>
  <c r="C121" i="29"/>
  <c r="C10" i="41"/>
  <c r="E123" i="29"/>
  <c r="I62" i="28"/>
  <c r="F62" i="28"/>
  <c r="E122" i="29"/>
  <c r="E121" i="29"/>
  <c r="E10" i="41"/>
  <c r="W10" i="41"/>
  <c r="C125" i="29"/>
  <c r="C128" i="29"/>
  <c r="C127" i="29"/>
  <c r="G57" i="28"/>
  <c r="C126" i="29"/>
  <c r="C124" i="29"/>
  <c r="C11" i="41"/>
  <c r="E125" i="29"/>
  <c r="E128" i="29"/>
  <c r="E127" i="29"/>
  <c r="I57" i="28"/>
  <c r="F57" i="28"/>
  <c r="E126" i="29"/>
  <c r="E124" i="29"/>
  <c r="E11" i="41"/>
  <c r="W11" i="41"/>
  <c r="C133" i="29"/>
  <c r="C134" i="29"/>
  <c r="C132" i="29"/>
  <c r="C135" i="29"/>
  <c r="C131" i="29"/>
  <c r="C130" i="29"/>
  <c r="C129" i="29"/>
  <c r="C12" i="41"/>
  <c r="E133" i="29"/>
  <c r="E134" i="29"/>
  <c r="E132" i="29"/>
  <c r="E135" i="29"/>
  <c r="E131" i="29"/>
  <c r="E130" i="29"/>
  <c r="E129" i="29"/>
  <c r="E12" i="41"/>
  <c r="W12" i="41"/>
  <c r="C140" i="29"/>
  <c r="C141" i="29"/>
  <c r="C139" i="29"/>
  <c r="C142" i="29"/>
  <c r="C138" i="29"/>
  <c r="C137" i="29"/>
  <c r="G65" i="28"/>
  <c r="C143" i="29"/>
  <c r="C136" i="29"/>
  <c r="C13" i="41"/>
  <c r="E140" i="29"/>
  <c r="E141" i="29"/>
  <c r="E139" i="29"/>
  <c r="E142" i="29"/>
  <c r="E138" i="29"/>
  <c r="E137" i="29"/>
  <c r="I65" i="28"/>
  <c r="F65" i="28"/>
  <c r="E143" i="29"/>
  <c r="E136" i="29"/>
  <c r="E13" i="41"/>
  <c r="W13" i="41"/>
  <c r="W14" i="41"/>
  <c r="W15" i="41"/>
  <c r="W16" i="41"/>
  <c r="C156" i="29"/>
  <c r="C147" i="29"/>
  <c r="C149" i="29"/>
  <c r="C150" i="29"/>
  <c r="C151" i="29"/>
  <c r="C148" i="29"/>
  <c r="C153" i="29"/>
  <c r="C154" i="29"/>
  <c r="C155" i="29"/>
  <c r="C152" i="29"/>
  <c r="C146" i="29"/>
  <c r="G48" i="28"/>
  <c r="C157" i="29"/>
  <c r="C145" i="29"/>
  <c r="C17" i="41"/>
  <c r="E156" i="29"/>
  <c r="E147" i="29"/>
  <c r="E149" i="29"/>
  <c r="E150" i="29"/>
  <c r="E151" i="29"/>
  <c r="E148" i="29"/>
  <c r="E153" i="29"/>
  <c r="E154" i="29"/>
  <c r="E155" i="29"/>
  <c r="E152" i="29"/>
  <c r="E146" i="29"/>
  <c r="I48" i="28"/>
  <c r="F48" i="28"/>
  <c r="E157" i="29"/>
  <c r="E145" i="29"/>
  <c r="E17" i="41"/>
  <c r="W17" i="41"/>
  <c r="C21" i="41"/>
  <c r="E21" i="41"/>
  <c r="W21" i="41"/>
  <c r="L3" i="19"/>
  <c r="W23" i="41"/>
  <c r="N144" i="29"/>
  <c r="K4" i="19"/>
  <c r="K5" i="19"/>
  <c r="K6" i="19"/>
  <c r="K7" i="19"/>
  <c r="K8" i="19"/>
  <c r="K9" i="19"/>
  <c r="K10" i="19"/>
  <c r="K11" i="19"/>
  <c r="K12" i="19"/>
  <c r="K13" i="19"/>
  <c r="K14" i="19"/>
  <c r="K15" i="19"/>
  <c r="K16" i="19"/>
  <c r="K17" i="19"/>
  <c r="K18" i="19"/>
  <c r="K3" i="19"/>
  <c r="I4" i="19"/>
  <c r="I5" i="19"/>
  <c r="I6" i="19"/>
  <c r="I7" i="19"/>
  <c r="I8" i="19"/>
  <c r="I9" i="19"/>
  <c r="I10" i="19"/>
  <c r="I11" i="19"/>
  <c r="I12" i="19"/>
  <c r="I13" i="19"/>
  <c r="I14" i="19"/>
  <c r="I15" i="19"/>
  <c r="I16" i="19"/>
  <c r="I17" i="19"/>
  <c r="I18" i="19"/>
  <c r="I3" i="19"/>
  <c r="G4" i="19"/>
  <c r="G5" i="19"/>
  <c r="G6" i="19"/>
  <c r="G7" i="19"/>
  <c r="G8" i="19"/>
  <c r="G9" i="19"/>
  <c r="G10" i="19"/>
  <c r="G11" i="19"/>
  <c r="G12" i="19"/>
  <c r="G13" i="19"/>
  <c r="G14" i="19"/>
  <c r="G15" i="19"/>
  <c r="G16" i="19"/>
  <c r="G17" i="19"/>
  <c r="G18" i="19"/>
  <c r="H29" i="19"/>
  <c r="H30" i="19"/>
  <c r="M23" i="41"/>
  <c r="M21" i="41"/>
  <c r="M19" i="41"/>
  <c r="J60" i="28"/>
  <c r="M18" i="41"/>
  <c r="J56" i="28"/>
  <c r="J61" i="28"/>
  <c r="J53" i="28"/>
  <c r="J55" i="28"/>
  <c r="J54" i="28"/>
  <c r="J59" i="28"/>
  <c r="J43" i="28"/>
  <c r="J49" i="28"/>
  <c r="J46" i="28"/>
  <c r="J52" i="28"/>
  <c r="J44" i="28"/>
  <c r="J48" i="28"/>
  <c r="M17" i="41"/>
  <c r="M16" i="41"/>
  <c r="M15" i="41"/>
  <c r="J57" i="28"/>
  <c r="J65" i="28"/>
  <c r="M13" i="41"/>
  <c r="M12" i="41"/>
  <c r="M11" i="41"/>
  <c r="J62" i="28"/>
  <c r="M10" i="41"/>
  <c r="J50" i="28"/>
  <c r="M9" i="41"/>
  <c r="M8" i="41"/>
  <c r="J58" i="28"/>
  <c r="J64" i="28"/>
  <c r="M7" i="41"/>
  <c r="J63" i="28"/>
  <c r="M6" i="41"/>
  <c r="M5" i="41"/>
  <c r="J47" i="28"/>
  <c r="J51" i="28"/>
  <c r="J45" i="28"/>
  <c r="J42" i="28"/>
  <c r="M4" i="41"/>
  <c r="M144" i="29"/>
  <c r="L7" i="29"/>
  <c r="L1" i="32"/>
  <c r="K7" i="29"/>
  <c r="K1" i="32"/>
  <c r="J7" i="29"/>
  <c r="J1" i="32"/>
  <c r="I7" i="29"/>
  <c r="I1" i="32"/>
  <c r="H7" i="29"/>
  <c r="H1" i="32"/>
  <c r="G7" i="29"/>
  <c r="G1" i="32"/>
  <c r="F7" i="29"/>
  <c r="F1" i="32"/>
  <c r="E7" i="29"/>
  <c r="E1" i="32"/>
  <c r="D7" i="29"/>
  <c r="D1" i="32"/>
  <c r="C7" i="29"/>
  <c r="C1" i="32"/>
  <c r="B7" i="29"/>
  <c r="B1" i="32"/>
  <c r="B42" i="19"/>
  <c r="B41" i="19"/>
  <c r="B40" i="19"/>
  <c r="B39" i="19"/>
  <c r="B38" i="19"/>
  <c r="B37" i="19"/>
  <c r="B36" i="19"/>
  <c r="B35" i="19"/>
  <c r="B34" i="19"/>
  <c r="B33" i="19"/>
  <c r="L21" i="41"/>
  <c r="J21" i="41"/>
  <c r="Z21" i="41"/>
  <c r="D21" i="41"/>
  <c r="B21" i="41"/>
  <c r="Y21" i="41"/>
  <c r="K21" i="41"/>
  <c r="X21" i="41"/>
  <c r="H46" i="28"/>
  <c r="H43" i="28"/>
  <c r="H42" i="28"/>
  <c r="H45" i="28"/>
  <c r="H49" i="28"/>
  <c r="H24" i="39"/>
  <c r="AF24" i="41"/>
  <c r="Z24" i="41"/>
  <c r="Y24" i="41"/>
  <c r="X24" i="41"/>
  <c r="AA23" i="41"/>
  <c r="Z23" i="41"/>
  <c r="Y23" i="41"/>
  <c r="X23" i="41"/>
  <c r="L23" i="41"/>
  <c r="K23" i="41"/>
  <c r="J23" i="41"/>
  <c r="I23" i="41"/>
  <c r="H23" i="41"/>
  <c r="G23" i="41"/>
  <c r="F23" i="41"/>
  <c r="E23" i="41"/>
  <c r="D23" i="41"/>
  <c r="C23" i="41"/>
  <c r="B23" i="41"/>
  <c r="I21" i="41"/>
  <c r="H21" i="41"/>
  <c r="G21" i="41"/>
  <c r="F21" i="41"/>
  <c r="L19" i="41"/>
  <c r="J19" i="41"/>
  <c r="D19" i="41"/>
  <c r="B19" i="41"/>
  <c r="K19" i="41"/>
  <c r="I19" i="41"/>
  <c r="H19" i="41"/>
  <c r="G19" i="41"/>
  <c r="F19" i="41"/>
  <c r="H60" i="28"/>
  <c r="K4" i="39"/>
  <c r="L4" i="39"/>
  <c r="K5" i="39"/>
  <c r="AA18" i="41"/>
  <c r="L18" i="41"/>
  <c r="K18" i="41"/>
  <c r="J18" i="41"/>
  <c r="I18" i="41"/>
  <c r="I60" i="28"/>
  <c r="H18" i="41"/>
  <c r="G18" i="41"/>
  <c r="G60" i="28"/>
  <c r="F18" i="41"/>
  <c r="F60" i="28"/>
  <c r="E18" i="41"/>
  <c r="D18" i="41"/>
  <c r="C18" i="41"/>
  <c r="B18" i="41"/>
  <c r="D226" i="5"/>
  <c r="F226" i="5"/>
  <c r="D227" i="5"/>
  <c r="D228" i="5"/>
  <c r="D229" i="5"/>
  <c r="D230" i="5"/>
  <c r="F227" i="5"/>
  <c r="F228" i="5"/>
  <c r="F229" i="5"/>
  <c r="F230" i="5"/>
  <c r="D231" i="5"/>
  <c r="F231" i="5"/>
  <c r="D232" i="5"/>
  <c r="F232" i="5"/>
  <c r="D233" i="5"/>
  <c r="F233" i="5"/>
  <c r="D234" i="5"/>
  <c r="F234" i="5"/>
  <c r="D235" i="5"/>
  <c r="F235" i="5"/>
  <c r="D236" i="5"/>
  <c r="F236" i="5"/>
  <c r="D237" i="5"/>
  <c r="F237" i="5"/>
  <c r="D238" i="5"/>
  <c r="F238" i="5"/>
  <c r="D239" i="5"/>
  <c r="F239" i="5"/>
  <c r="D240" i="5"/>
  <c r="F240" i="5"/>
  <c r="D241" i="5"/>
  <c r="F241" i="5"/>
  <c r="D242" i="5"/>
  <c r="F242" i="5"/>
  <c r="D243" i="5"/>
  <c r="F243" i="5"/>
  <c r="D244" i="5"/>
  <c r="F244" i="5"/>
  <c r="D245" i="5"/>
  <c r="F245" i="5"/>
  <c r="D246" i="5"/>
  <c r="F246" i="5"/>
  <c r="D247" i="5"/>
  <c r="F247" i="5"/>
  <c r="D248" i="5"/>
  <c r="F248" i="5"/>
  <c r="D249" i="5"/>
  <c r="F249" i="5"/>
  <c r="D250" i="5"/>
  <c r="F250" i="5"/>
  <c r="D251" i="5"/>
  <c r="F251" i="5"/>
  <c r="D252" i="5"/>
  <c r="F252" i="5"/>
  <c r="E195" i="5"/>
  <c r="E196" i="5"/>
  <c r="E197" i="5"/>
  <c r="E198" i="5"/>
  <c r="G195" i="5"/>
  <c r="G196" i="5"/>
  <c r="G197" i="5"/>
  <c r="G198" i="5"/>
  <c r="E199" i="5"/>
  <c r="G199" i="5"/>
  <c r="E200" i="5"/>
  <c r="G200" i="5"/>
  <c r="E201" i="5"/>
  <c r="G201" i="5"/>
  <c r="E202" i="5"/>
  <c r="G202" i="5"/>
  <c r="E203" i="5"/>
  <c r="G203" i="5"/>
  <c r="E204" i="5"/>
  <c r="G204" i="5"/>
  <c r="E205" i="5"/>
  <c r="G205" i="5"/>
  <c r="E206" i="5"/>
  <c r="G206" i="5"/>
  <c r="E207" i="5"/>
  <c r="G207" i="5"/>
  <c r="E208" i="5"/>
  <c r="G208" i="5"/>
  <c r="E209" i="5"/>
  <c r="G209" i="5"/>
  <c r="E210" i="5"/>
  <c r="G210" i="5"/>
  <c r="E211" i="5"/>
  <c r="G211" i="5"/>
  <c r="E212" i="5"/>
  <c r="G212" i="5"/>
  <c r="E213" i="5"/>
  <c r="G213" i="5"/>
  <c r="E214" i="5"/>
  <c r="G214" i="5"/>
  <c r="E215" i="5"/>
  <c r="G215" i="5"/>
  <c r="E216" i="5"/>
  <c r="G216" i="5"/>
  <c r="E217" i="5"/>
  <c r="G217" i="5"/>
  <c r="E218" i="5"/>
  <c r="G218" i="5"/>
  <c r="E85" i="30"/>
  <c r="E86" i="30"/>
  <c r="E87" i="30"/>
  <c r="E88" i="30"/>
  <c r="E89" i="30"/>
  <c r="E90" i="30"/>
  <c r="E91" i="30"/>
  <c r="E92" i="30"/>
  <c r="E93" i="30"/>
  <c r="E94" i="30"/>
  <c r="E95" i="30"/>
  <c r="E96" i="30"/>
  <c r="E97" i="30"/>
  <c r="E98" i="30"/>
  <c r="E99" i="30"/>
  <c r="E100" i="30"/>
  <c r="E101" i="30"/>
  <c r="E102" i="30"/>
  <c r="E103" i="30"/>
  <c r="E104" i="30"/>
  <c r="E105" i="30"/>
  <c r="E106" i="30"/>
  <c r="E107" i="30"/>
  <c r="E108" i="30"/>
  <c r="E109" i="30"/>
  <c r="E110" i="30"/>
  <c r="E111" i="30"/>
  <c r="E112" i="30"/>
  <c r="E113" i="30"/>
  <c r="E114" i="30"/>
  <c r="E115" i="30"/>
  <c r="E116" i="30"/>
  <c r="E117" i="30"/>
  <c r="E118" i="30"/>
  <c r="E119" i="30"/>
  <c r="E120" i="30"/>
  <c r="D123" i="30"/>
  <c r="D134" i="30"/>
  <c r="D135" i="30"/>
  <c r="D136" i="30"/>
  <c r="D137" i="30"/>
  <c r="D138" i="30"/>
  <c r="D139" i="30"/>
  <c r="D140" i="30"/>
  <c r="D141" i="30"/>
  <c r="D142" i="30"/>
  <c r="D145" i="30"/>
  <c r="D146" i="30"/>
  <c r="D147" i="30"/>
  <c r="D148" i="30"/>
  <c r="D149" i="30"/>
  <c r="D150" i="30"/>
  <c r="D151" i="30"/>
  <c r="D152" i="30"/>
  <c r="D153" i="30"/>
  <c r="E178" i="30"/>
  <c r="E179" i="30"/>
  <c r="E180" i="30"/>
  <c r="E181" i="30"/>
  <c r="E182" i="30"/>
  <c r="E183" i="30"/>
  <c r="D156" i="30"/>
  <c r="D157" i="30"/>
  <c r="D158" i="30"/>
  <c r="D159" i="30"/>
  <c r="D160" i="30"/>
  <c r="D161" i="30"/>
  <c r="C57" i="5"/>
  <c r="C58" i="5"/>
  <c r="C59" i="5"/>
  <c r="C60" i="5"/>
  <c r="E57" i="5"/>
  <c r="E58" i="5"/>
  <c r="E59" i="5"/>
  <c r="E60" i="5"/>
  <c r="C61" i="5"/>
  <c r="E61" i="5"/>
  <c r="C62" i="5"/>
  <c r="E62" i="5"/>
  <c r="C63" i="5"/>
  <c r="E63" i="5"/>
  <c r="C64" i="5"/>
  <c r="E64" i="5"/>
  <c r="C65" i="5"/>
  <c r="E65" i="5"/>
  <c r="C66" i="5"/>
  <c r="E66" i="5"/>
  <c r="C67" i="5"/>
  <c r="E67" i="5"/>
  <c r="C68" i="5"/>
  <c r="E68" i="5"/>
  <c r="C69" i="5"/>
  <c r="E69" i="5"/>
  <c r="C70" i="5"/>
  <c r="E70" i="5"/>
  <c r="C71" i="5"/>
  <c r="E71" i="5"/>
  <c r="C72" i="5"/>
  <c r="E72" i="5"/>
  <c r="C73" i="5"/>
  <c r="E73" i="5"/>
  <c r="C74" i="5"/>
  <c r="E74" i="5"/>
  <c r="C75" i="5"/>
  <c r="E75" i="5"/>
  <c r="C76" i="5"/>
  <c r="E76" i="5"/>
  <c r="C77" i="5"/>
  <c r="E77" i="5"/>
  <c r="C78" i="5"/>
  <c r="E78" i="5"/>
  <c r="C79" i="5"/>
  <c r="E79" i="5"/>
  <c r="C80" i="5"/>
  <c r="E80" i="5"/>
  <c r="C81" i="5"/>
  <c r="E81" i="5"/>
  <c r="C82" i="5"/>
  <c r="E82" i="5"/>
  <c r="C83" i="5"/>
  <c r="E83" i="5"/>
  <c r="C84" i="5"/>
  <c r="E84" i="5"/>
  <c r="C85" i="5"/>
  <c r="E85" i="5"/>
  <c r="C86" i="5"/>
  <c r="E86" i="5"/>
  <c r="C87" i="5"/>
  <c r="E87" i="5"/>
  <c r="C88" i="5"/>
  <c r="E88" i="5"/>
  <c r="C89" i="5"/>
  <c r="E89" i="5"/>
  <c r="C90" i="5"/>
  <c r="E90" i="5"/>
  <c r="C91" i="5"/>
  <c r="E91" i="5"/>
  <c r="C92" i="5"/>
  <c r="E92" i="5"/>
  <c r="D344" i="30"/>
  <c r="D345" i="30"/>
  <c r="D346" i="30"/>
  <c r="D347" i="30"/>
  <c r="D348" i="30"/>
  <c r="D349" i="30"/>
  <c r="D350" i="30"/>
  <c r="D351" i="30"/>
  <c r="D352" i="30"/>
  <c r="D353" i="30"/>
  <c r="D354" i="30"/>
  <c r="D355" i="30"/>
  <c r="D356" i="30"/>
  <c r="D357" i="30"/>
  <c r="D358" i="30"/>
  <c r="D359" i="30"/>
  <c r="D164" i="30"/>
  <c r="D165" i="30"/>
  <c r="D166" i="30"/>
  <c r="D167" i="30"/>
  <c r="D168" i="30"/>
  <c r="D169" i="30"/>
  <c r="D170" i="30"/>
  <c r="D171" i="30"/>
  <c r="D172" i="30"/>
  <c r="D173" i="30"/>
  <c r="D174" i="30"/>
  <c r="D175" i="30"/>
  <c r="F198" i="30"/>
  <c r="F199" i="30"/>
  <c r="F200" i="30"/>
  <c r="F201" i="30"/>
  <c r="F202" i="30"/>
  <c r="F203" i="30"/>
  <c r="F204" i="30"/>
  <c r="F205" i="30"/>
  <c r="F206" i="30"/>
  <c r="F207" i="30"/>
  <c r="F208" i="30"/>
  <c r="F209" i="30"/>
  <c r="F210" i="30"/>
  <c r="F211" i="30"/>
  <c r="F212" i="30"/>
  <c r="F213" i="30"/>
  <c r="F214" i="30"/>
  <c r="F215" i="30"/>
  <c r="F216" i="30"/>
  <c r="F217" i="30"/>
  <c r="F218" i="30"/>
  <c r="F219" i="30"/>
  <c r="F220" i="30"/>
  <c r="F221" i="30"/>
  <c r="F222" i="30"/>
  <c r="F223" i="30"/>
  <c r="F224" i="30"/>
  <c r="F225" i="30"/>
  <c r="F226" i="30"/>
  <c r="F227" i="30"/>
  <c r="F228" i="30"/>
  <c r="F229" i="30"/>
  <c r="F230" i="30"/>
  <c r="F231" i="30"/>
  <c r="F232" i="30"/>
  <c r="F233" i="30"/>
  <c r="F234" i="30"/>
  <c r="F235" i="30"/>
  <c r="F236" i="30"/>
  <c r="F237" i="30"/>
  <c r="F238" i="30"/>
  <c r="F239" i="30"/>
  <c r="F240" i="30"/>
  <c r="F241" i="30"/>
  <c r="F242" i="30"/>
  <c r="F243" i="30"/>
  <c r="F244" i="30"/>
  <c r="F245" i="30"/>
  <c r="F246" i="30"/>
  <c r="F247" i="30"/>
  <c r="F248" i="30"/>
  <c r="F249" i="30"/>
  <c r="F250" i="30"/>
  <c r="F251" i="30"/>
  <c r="F252" i="30"/>
  <c r="F253" i="30"/>
  <c r="F254" i="30"/>
  <c r="F255" i="30"/>
  <c r="F256" i="30"/>
  <c r="F257" i="30"/>
  <c r="F258" i="30"/>
  <c r="F259" i="30"/>
  <c r="F260" i="30"/>
  <c r="F261" i="30"/>
  <c r="F262" i="30"/>
  <c r="F263" i="30"/>
  <c r="F264" i="30"/>
  <c r="F265" i="30"/>
  <c r="F266" i="30"/>
  <c r="F267" i="30"/>
  <c r="F268" i="30"/>
  <c r="F269" i="30"/>
  <c r="F270" i="30"/>
  <c r="F271" i="30"/>
  <c r="F272" i="30"/>
  <c r="F273" i="30"/>
  <c r="F274" i="30"/>
  <c r="F275" i="30"/>
  <c r="F276" i="30"/>
  <c r="F277" i="30"/>
  <c r="F278" i="30"/>
  <c r="F279" i="30"/>
  <c r="F280" i="30"/>
  <c r="F281" i="30"/>
  <c r="F282" i="30"/>
  <c r="F283" i="30"/>
  <c r="F284" i="30"/>
  <c r="F285" i="30"/>
  <c r="F286" i="30"/>
  <c r="F287" i="30"/>
  <c r="F288" i="30"/>
  <c r="F289" i="30"/>
  <c r="F290" i="30"/>
  <c r="F291" i="30"/>
  <c r="F292" i="30"/>
  <c r="F293" i="30"/>
  <c r="F294" i="30"/>
  <c r="F295" i="30"/>
  <c r="F296" i="30"/>
  <c r="F297" i="30"/>
  <c r="F298" i="30"/>
  <c r="F299" i="30"/>
  <c r="F300" i="30"/>
  <c r="F301" i="30"/>
  <c r="F302" i="30"/>
  <c r="F303" i="30"/>
  <c r="F304" i="30"/>
  <c r="F305" i="30"/>
  <c r="F306" i="30"/>
  <c r="F307" i="30"/>
  <c r="F308" i="30"/>
  <c r="F309" i="30"/>
  <c r="F310" i="30"/>
  <c r="F311" i="30"/>
  <c r="F312" i="30"/>
  <c r="F313" i="30"/>
  <c r="F314" i="30"/>
  <c r="F315" i="30"/>
  <c r="F316" i="30"/>
  <c r="F317" i="30"/>
  <c r="F318" i="30"/>
  <c r="F319" i="30"/>
  <c r="F320" i="30"/>
  <c r="F321" i="30"/>
  <c r="F322" i="30"/>
  <c r="F323" i="30"/>
  <c r="F324" i="30"/>
  <c r="F325" i="30"/>
  <c r="F326" i="30"/>
  <c r="F327" i="30"/>
  <c r="F328" i="30"/>
  <c r="F329" i="30"/>
  <c r="F330" i="30"/>
  <c r="F331" i="30"/>
  <c r="F332" i="30"/>
  <c r="F333" i="30"/>
  <c r="F334" i="30"/>
  <c r="F335" i="30"/>
  <c r="F336" i="30"/>
  <c r="F337" i="30"/>
  <c r="F338" i="30"/>
  <c r="F339" i="30"/>
  <c r="F340" i="30"/>
  <c r="F341" i="30"/>
  <c r="E362" i="30"/>
  <c r="E363" i="30"/>
  <c r="E364" i="30"/>
  <c r="E365" i="30"/>
  <c r="E366" i="30"/>
  <c r="E367" i="30"/>
  <c r="E368" i="30"/>
  <c r="E369" i="30"/>
  <c r="E370" i="30"/>
  <c r="E371" i="30"/>
  <c r="E372" i="30"/>
  <c r="E373" i="30"/>
  <c r="E374" i="30"/>
  <c r="E375" i="30"/>
  <c r="E376" i="30"/>
  <c r="E377" i="30"/>
  <c r="E378" i="30"/>
  <c r="E379" i="30"/>
  <c r="E380" i="30"/>
  <c r="E381" i="30"/>
  <c r="E382" i="30"/>
  <c r="E383" i="30"/>
  <c r="E384" i="30"/>
  <c r="E385" i="30"/>
  <c r="E386" i="30"/>
  <c r="E387" i="30"/>
  <c r="E388" i="30"/>
  <c r="E389" i="30"/>
  <c r="E390" i="30"/>
  <c r="E391" i="30"/>
  <c r="E392" i="30"/>
  <c r="E393" i="30"/>
  <c r="E394" i="30"/>
  <c r="E395" i="30"/>
  <c r="E396" i="30"/>
  <c r="E397" i="30"/>
  <c r="E398" i="30"/>
  <c r="E399" i="30"/>
  <c r="E400" i="30"/>
  <c r="E401" i="30"/>
  <c r="L147" i="29"/>
  <c r="L149" i="29"/>
  <c r="L150" i="29"/>
  <c r="L151" i="29"/>
  <c r="L148" i="29"/>
  <c r="L153" i="29"/>
  <c r="L154" i="29"/>
  <c r="L155" i="29"/>
  <c r="L152" i="29"/>
  <c r="L146" i="29"/>
  <c r="L9" i="29"/>
  <c r="L15" i="29"/>
  <c r="L17" i="29"/>
  <c r="L18" i="29"/>
  <c r="L19" i="29"/>
  <c r="L16" i="29"/>
  <c r="L21" i="29"/>
  <c r="L22" i="29"/>
  <c r="L23" i="29"/>
  <c r="L20" i="29"/>
  <c r="L14" i="29"/>
  <c r="L11" i="29"/>
  <c r="L13" i="29"/>
  <c r="L12" i="29"/>
  <c r="L10" i="29"/>
  <c r="L27" i="29"/>
  <c r="L26" i="29"/>
  <c r="D124" i="30"/>
  <c r="D125" i="30"/>
  <c r="L25" i="29"/>
  <c r="L29" i="29"/>
  <c r="L30" i="29"/>
  <c r="L28" i="29"/>
  <c r="L33" i="29"/>
  <c r="L32" i="29"/>
  <c r="L31" i="29"/>
  <c r="E184" i="30"/>
  <c r="E185" i="30"/>
  <c r="E186" i="30"/>
  <c r="E187" i="30"/>
  <c r="E188" i="30"/>
  <c r="E189" i="30"/>
  <c r="E190" i="30"/>
  <c r="E191" i="30"/>
  <c r="E192" i="30"/>
  <c r="E193" i="30"/>
  <c r="E194" i="30"/>
  <c r="E195" i="30"/>
  <c r="L24" i="29"/>
  <c r="L37" i="29"/>
  <c r="L36" i="29"/>
  <c r="L35" i="29"/>
  <c r="L40" i="29"/>
  <c r="L39" i="29"/>
  <c r="L38" i="29"/>
  <c r="L34" i="29"/>
  <c r="L8" i="29"/>
  <c r="L156" i="29"/>
  <c r="L157" i="29"/>
  <c r="L145" i="29"/>
  <c r="L17" i="41"/>
  <c r="L15" i="41"/>
  <c r="J147" i="29"/>
  <c r="J149" i="29"/>
  <c r="J150" i="29"/>
  <c r="J151" i="29"/>
  <c r="J148" i="29"/>
  <c r="J153" i="29"/>
  <c r="J154" i="29"/>
  <c r="J155" i="29"/>
  <c r="J152" i="29"/>
  <c r="J146" i="29"/>
  <c r="J9" i="29"/>
  <c r="J15" i="29"/>
  <c r="J17" i="29"/>
  <c r="J18" i="29"/>
  <c r="J19" i="29"/>
  <c r="J16" i="29"/>
  <c r="J21" i="29"/>
  <c r="J22" i="29"/>
  <c r="J23" i="29"/>
  <c r="J20" i="29"/>
  <c r="J14" i="29"/>
  <c r="J11" i="29"/>
  <c r="J13" i="29"/>
  <c r="J12" i="29"/>
  <c r="J10" i="29"/>
  <c r="J27" i="29"/>
  <c r="J26" i="29"/>
  <c r="J25" i="29"/>
  <c r="J29" i="29"/>
  <c r="J30" i="29"/>
  <c r="J28" i="29"/>
  <c r="J33" i="29"/>
  <c r="J32" i="29"/>
  <c r="J31" i="29"/>
  <c r="J24" i="29"/>
  <c r="J37" i="29"/>
  <c r="J36" i="29"/>
  <c r="J35" i="29"/>
  <c r="J40" i="29"/>
  <c r="J39" i="29"/>
  <c r="J38" i="29"/>
  <c r="J34" i="29"/>
  <c r="J8" i="29"/>
  <c r="J156" i="29"/>
  <c r="J157" i="29"/>
  <c r="J145" i="29"/>
  <c r="J17" i="41"/>
  <c r="J15" i="41"/>
  <c r="Z17" i="41"/>
  <c r="B147" i="29"/>
  <c r="B149" i="29"/>
  <c r="B150" i="29"/>
  <c r="B151" i="29"/>
  <c r="B148" i="29"/>
  <c r="B153" i="29"/>
  <c r="B154" i="29"/>
  <c r="B155" i="29"/>
  <c r="B152" i="29"/>
  <c r="B146" i="29"/>
  <c r="B9" i="29"/>
  <c r="B17" i="29"/>
  <c r="B18" i="29"/>
  <c r="B19" i="29"/>
  <c r="B16" i="29"/>
  <c r="B21" i="29"/>
  <c r="B22" i="29"/>
  <c r="B23" i="29"/>
  <c r="B20" i="29"/>
  <c r="B14" i="29"/>
  <c r="B11" i="29"/>
  <c r="B13" i="29"/>
  <c r="B12" i="29"/>
  <c r="B10" i="29"/>
  <c r="B27" i="29"/>
  <c r="B26" i="29"/>
  <c r="B25" i="29"/>
  <c r="B29" i="29"/>
  <c r="B30" i="29"/>
  <c r="B28" i="29"/>
  <c r="B33" i="29"/>
  <c r="B32" i="29"/>
  <c r="B31" i="29"/>
  <c r="B24" i="29"/>
  <c r="B37" i="29"/>
  <c r="B36" i="29"/>
  <c r="B35" i="29"/>
  <c r="B40" i="29"/>
  <c r="B39" i="29"/>
  <c r="B38" i="29"/>
  <c r="B34" i="29"/>
  <c r="B8" i="29"/>
  <c r="B156" i="29"/>
  <c r="B157" i="29"/>
  <c r="B145" i="29"/>
  <c r="B17" i="41"/>
  <c r="B15" i="41"/>
  <c r="H59" i="28"/>
  <c r="D147" i="29"/>
  <c r="D149" i="29"/>
  <c r="D150" i="29"/>
  <c r="D151" i="29"/>
  <c r="D148" i="29"/>
  <c r="H52" i="28"/>
  <c r="D153" i="29"/>
  <c r="H54" i="28"/>
  <c r="D154" i="29"/>
  <c r="D155" i="29"/>
  <c r="D152" i="29"/>
  <c r="D146" i="29"/>
  <c r="H44" i="28"/>
  <c r="D9" i="29"/>
  <c r="D15" i="29"/>
  <c r="D17" i="29"/>
  <c r="D18" i="29"/>
  <c r="D19" i="29"/>
  <c r="D16" i="29"/>
  <c r="D21" i="29"/>
  <c r="D22" i="29"/>
  <c r="D23" i="29"/>
  <c r="D20" i="29"/>
  <c r="D14" i="29"/>
  <c r="D11" i="29"/>
  <c r="D13" i="29"/>
  <c r="D12" i="29"/>
  <c r="D10" i="29"/>
  <c r="H56" i="28"/>
  <c r="D27" i="29"/>
  <c r="D26" i="29"/>
  <c r="D25" i="29"/>
  <c r="H61" i="28"/>
  <c r="D29" i="29"/>
  <c r="D30" i="29"/>
  <c r="D28" i="29"/>
  <c r="H53" i="28"/>
  <c r="D33" i="29"/>
  <c r="D32" i="29"/>
  <c r="D31" i="29"/>
  <c r="D24" i="29"/>
  <c r="D37" i="29"/>
  <c r="D36" i="29"/>
  <c r="D35" i="29"/>
  <c r="H55" i="28"/>
  <c r="D40" i="29"/>
  <c r="D39" i="29"/>
  <c r="D38" i="29"/>
  <c r="D34" i="29"/>
  <c r="D8" i="29"/>
  <c r="D156" i="29"/>
  <c r="H48" i="28"/>
  <c r="D157" i="29"/>
  <c r="D145" i="29"/>
  <c r="D17" i="41"/>
  <c r="D15" i="41"/>
  <c r="Y17" i="41"/>
  <c r="K147" i="29"/>
  <c r="K149" i="29"/>
  <c r="K150" i="29"/>
  <c r="K151" i="29"/>
  <c r="K148" i="29"/>
  <c r="K153" i="29"/>
  <c r="K154" i="29"/>
  <c r="K155" i="29"/>
  <c r="K152" i="29"/>
  <c r="K146" i="29"/>
  <c r="K9" i="29"/>
  <c r="K15" i="29"/>
  <c r="K17" i="29"/>
  <c r="K18" i="29"/>
  <c r="K19" i="29"/>
  <c r="K16" i="29"/>
  <c r="K21" i="29"/>
  <c r="K22" i="29"/>
  <c r="K23" i="29"/>
  <c r="K20" i="29"/>
  <c r="K14" i="29"/>
  <c r="K11" i="29"/>
  <c r="K13" i="29"/>
  <c r="K12" i="29"/>
  <c r="K10" i="29"/>
  <c r="K27" i="29"/>
  <c r="K26" i="29"/>
  <c r="K25" i="29"/>
  <c r="K29" i="29"/>
  <c r="K30" i="29"/>
  <c r="K28" i="29"/>
  <c r="K33" i="29"/>
  <c r="K32" i="29"/>
  <c r="K31" i="29"/>
  <c r="K24" i="29"/>
  <c r="K37" i="29"/>
  <c r="K36" i="29"/>
  <c r="K35" i="29"/>
  <c r="K40" i="29"/>
  <c r="K39" i="29"/>
  <c r="K38" i="29"/>
  <c r="K34" i="29"/>
  <c r="K8" i="29"/>
  <c r="K156" i="29"/>
  <c r="K157" i="29"/>
  <c r="K145" i="29"/>
  <c r="K17" i="41"/>
  <c r="K15" i="41"/>
  <c r="X17" i="41"/>
  <c r="I147" i="29"/>
  <c r="I149" i="29"/>
  <c r="I150" i="29"/>
  <c r="I151" i="29"/>
  <c r="I148" i="29"/>
  <c r="I153" i="29"/>
  <c r="I154" i="29"/>
  <c r="I155" i="29"/>
  <c r="I152" i="29"/>
  <c r="I146" i="29"/>
  <c r="I9" i="29"/>
  <c r="I15" i="29"/>
  <c r="I17" i="29"/>
  <c r="I18" i="29"/>
  <c r="I19" i="29"/>
  <c r="I16" i="29"/>
  <c r="I21" i="29"/>
  <c r="I22" i="29"/>
  <c r="I23" i="29"/>
  <c r="I20" i="29"/>
  <c r="I14" i="29"/>
  <c r="I11" i="29"/>
  <c r="I13" i="29"/>
  <c r="I12" i="29"/>
  <c r="I10" i="29"/>
  <c r="I27" i="29"/>
  <c r="I26" i="29"/>
  <c r="I25" i="29"/>
  <c r="I29" i="29"/>
  <c r="I30" i="29"/>
  <c r="I28" i="29"/>
  <c r="I33" i="29"/>
  <c r="I32" i="29"/>
  <c r="I31" i="29"/>
  <c r="I24" i="29"/>
  <c r="I37" i="29"/>
  <c r="I36" i="29"/>
  <c r="I35" i="29"/>
  <c r="I40" i="29"/>
  <c r="I39" i="29"/>
  <c r="I38" i="29"/>
  <c r="I34" i="29"/>
  <c r="I8" i="29"/>
  <c r="I156" i="29"/>
  <c r="I157" i="29"/>
  <c r="I145" i="29"/>
  <c r="I17" i="41"/>
  <c r="H147" i="29"/>
  <c r="H149" i="29"/>
  <c r="H150" i="29"/>
  <c r="H151" i="29"/>
  <c r="H148" i="29"/>
  <c r="H153" i="29"/>
  <c r="H154" i="29"/>
  <c r="H155" i="29"/>
  <c r="H152" i="29"/>
  <c r="H146" i="29"/>
  <c r="H9" i="29"/>
  <c r="H15" i="29"/>
  <c r="H17" i="29"/>
  <c r="H18" i="29"/>
  <c r="H19" i="29"/>
  <c r="H16" i="29"/>
  <c r="H21" i="29"/>
  <c r="H22" i="29"/>
  <c r="H23" i="29"/>
  <c r="H20" i="29"/>
  <c r="H14" i="29"/>
  <c r="H11" i="29"/>
  <c r="H13" i="29"/>
  <c r="H12" i="29"/>
  <c r="H10" i="29"/>
  <c r="H27" i="29"/>
  <c r="H26" i="29"/>
  <c r="H25" i="29"/>
  <c r="H29" i="29"/>
  <c r="H30" i="29"/>
  <c r="H28" i="29"/>
  <c r="H33" i="29"/>
  <c r="H32" i="29"/>
  <c r="H31" i="29"/>
  <c r="H24" i="29"/>
  <c r="H37" i="29"/>
  <c r="H36" i="29"/>
  <c r="H35" i="29"/>
  <c r="H40" i="29"/>
  <c r="H39" i="29"/>
  <c r="H38" i="29"/>
  <c r="H34" i="29"/>
  <c r="H8" i="29"/>
  <c r="H156" i="29"/>
  <c r="H157" i="29"/>
  <c r="H145" i="29"/>
  <c r="H17" i="41"/>
  <c r="G147" i="29"/>
  <c r="G149" i="29"/>
  <c r="G150" i="29"/>
  <c r="G151" i="29"/>
  <c r="G148" i="29"/>
  <c r="G153" i="29"/>
  <c r="G154" i="29"/>
  <c r="G155" i="29"/>
  <c r="G152" i="29"/>
  <c r="G146" i="29"/>
  <c r="G9" i="29"/>
  <c r="G15" i="29"/>
  <c r="G17" i="29"/>
  <c r="G18" i="29"/>
  <c r="G19" i="29"/>
  <c r="G16" i="29"/>
  <c r="G21" i="29"/>
  <c r="G22" i="29"/>
  <c r="G23" i="29"/>
  <c r="G20" i="29"/>
  <c r="G14" i="29"/>
  <c r="G11" i="29"/>
  <c r="G13" i="29"/>
  <c r="G12" i="29"/>
  <c r="G10" i="29"/>
  <c r="G27" i="29"/>
  <c r="G26" i="29"/>
  <c r="G25" i="29"/>
  <c r="G29" i="29"/>
  <c r="G30" i="29"/>
  <c r="G28" i="29"/>
  <c r="G33" i="29"/>
  <c r="G32" i="29"/>
  <c r="G31" i="29"/>
  <c r="G24" i="29"/>
  <c r="G37" i="29"/>
  <c r="G36" i="29"/>
  <c r="G35" i="29"/>
  <c r="G40" i="29"/>
  <c r="G39" i="29"/>
  <c r="G38" i="29"/>
  <c r="G34" i="29"/>
  <c r="G8" i="29"/>
  <c r="G156" i="29"/>
  <c r="G157" i="29"/>
  <c r="G145" i="29"/>
  <c r="G17" i="41"/>
  <c r="F147" i="29"/>
  <c r="F149" i="29"/>
  <c r="F150" i="29"/>
  <c r="F151" i="29"/>
  <c r="F148" i="29"/>
  <c r="F153" i="29"/>
  <c r="F154" i="29"/>
  <c r="F155" i="29"/>
  <c r="F152" i="29"/>
  <c r="F146" i="29"/>
  <c r="F9" i="29"/>
  <c r="F15" i="29"/>
  <c r="F17" i="29"/>
  <c r="F18" i="29"/>
  <c r="F19" i="29"/>
  <c r="F16" i="29"/>
  <c r="F21" i="29"/>
  <c r="F22" i="29"/>
  <c r="F23" i="29"/>
  <c r="F20" i="29"/>
  <c r="F14" i="29"/>
  <c r="F11" i="29"/>
  <c r="F13" i="29"/>
  <c r="F12" i="29"/>
  <c r="F10" i="29"/>
  <c r="F27" i="29"/>
  <c r="F26" i="29"/>
  <c r="F25" i="29"/>
  <c r="F29" i="29"/>
  <c r="F30" i="29"/>
  <c r="F28" i="29"/>
  <c r="F33" i="29"/>
  <c r="F32" i="29"/>
  <c r="F31" i="29"/>
  <c r="F24" i="29"/>
  <c r="F37" i="29"/>
  <c r="F36" i="29"/>
  <c r="F35" i="29"/>
  <c r="F40" i="29"/>
  <c r="F39" i="29"/>
  <c r="F38" i="29"/>
  <c r="F34" i="29"/>
  <c r="F8" i="29"/>
  <c r="F156" i="29"/>
  <c r="F157" i="29"/>
  <c r="F145" i="29"/>
  <c r="F17" i="41"/>
  <c r="D404" i="30"/>
  <c r="D405" i="30"/>
  <c r="D406" i="30"/>
  <c r="D407" i="30"/>
  <c r="D408" i="30"/>
  <c r="D409" i="30"/>
  <c r="D410" i="30"/>
  <c r="D411" i="30"/>
  <c r="D412" i="30"/>
  <c r="D413" i="30"/>
  <c r="D414" i="30"/>
  <c r="D415" i="30"/>
  <c r="D418" i="30"/>
  <c r="D419" i="30"/>
  <c r="D420" i="30"/>
  <c r="L56" i="29"/>
  <c r="L55" i="29"/>
  <c r="L54" i="29"/>
  <c r="L57" i="29"/>
  <c r="L53" i="29"/>
  <c r="L16" i="41"/>
  <c r="Z16" i="41"/>
  <c r="Y16" i="41"/>
  <c r="X16" i="41"/>
  <c r="D421" i="30"/>
  <c r="D422" i="30"/>
  <c r="F15" i="41"/>
  <c r="G15" i="41"/>
  <c r="H15" i="41"/>
  <c r="I15" i="41"/>
  <c r="Z15" i="41"/>
  <c r="Y15" i="41"/>
  <c r="X15" i="41"/>
  <c r="E426" i="30"/>
  <c r="E427" i="30"/>
  <c r="E428" i="30"/>
  <c r="E429" i="30"/>
  <c r="E430" i="30"/>
  <c r="E431" i="30"/>
  <c r="E432" i="30"/>
  <c r="E433" i="30"/>
  <c r="E434" i="30"/>
  <c r="E435" i="30"/>
  <c r="E436" i="30"/>
  <c r="E437" i="30"/>
  <c r="E438" i="30"/>
  <c r="E439" i="30"/>
  <c r="E440" i="30"/>
  <c r="E441" i="30"/>
  <c r="E442" i="30"/>
  <c r="E443" i="30"/>
  <c r="L137" i="29"/>
  <c r="L141" i="29"/>
  <c r="L140" i="29"/>
  <c r="L139" i="29"/>
  <c r="L142" i="29"/>
  <c r="L138" i="29"/>
  <c r="L143" i="29"/>
  <c r="L136" i="29"/>
  <c r="L13" i="41"/>
  <c r="J137" i="29"/>
  <c r="J141" i="29"/>
  <c r="J140" i="29"/>
  <c r="J139" i="29"/>
  <c r="J142" i="29"/>
  <c r="J138" i="29"/>
  <c r="J143" i="29"/>
  <c r="J136" i="29"/>
  <c r="J13" i="41"/>
  <c r="Z13" i="41"/>
  <c r="B137" i="29"/>
  <c r="B141" i="29"/>
  <c r="B140" i="29"/>
  <c r="B139" i="29"/>
  <c r="B142" i="29"/>
  <c r="B138" i="29"/>
  <c r="B143" i="29"/>
  <c r="B136" i="29"/>
  <c r="B13" i="41"/>
  <c r="H57" i="28"/>
  <c r="D137" i="29"/>
  <c r="D141" i="29"/>
  <c r="D140" i="29"/>
  <c r="D139" i="29"/>
  <c r="D142" i="29"/>
  <c r="D138" i="29"/>
  <c r="H65" i="28"/>
  <c r="D143" i="29"/>
  <c r="D136" i="29"/>
  <c r="D13" i="41"/>
  <c r="Y13" i="41"/>
  <c r="K137" i="29"/>
  <c r="K141" i="29"/>
  <c r="K140" i="29"/>
  <c r="K139" i="29"/>
  <c r="K142" i="29"/>
  <c r="K138" i="29"/>
  <c r="K143" i="29"/>
  <c r="K136" i="29"/>
  <c r="K13" i="41"/>
  <c r="X13" i="41"/>
  <c r="I137" i="29"/>
  <c r="I141" i="29"/>
  <c r="I140" i="29"/>
  <c r="I139" i="29"/>
  <c r="I142" i="29"/>
  <c r="I138" i="29"/>
  <c r="I143" i="29"/>
  <c r="I136" i="29"/>
  <c r="I13" i="41"/>
  <c r="H137" i="29"/>
  <c r="H141" i="29"/>
  <c r="H140" i="29"/>
  <c r="H139" i="29"/>
  <c r="H142" i="29"/>
  <c r="H138" i="29"/>
  <c r="H143" i="29"/>
  <c r="H136" i="29"/>
  <c r="H13" i="41"/>
  <c r="G137" i="29"/>
  <c r="G141" i="29"/>
  <c r="G140" i="29"/>
  <c r="G139" i="29"/>
  <c r="G142" i="29"/>
  <c r="G138" i="29"/>
  <c r="G143" i="29"/>
  <c r="G136" i="29"/>
  <c r="G13" i="41"/>
  <c r="F137" i="29"/>
  <c r="F141" i="29"/>
  <c r="F140" i="29"/>
  <c r="F139" i="29"/>
  <c r="F142" i="29"/>
  <c r="F138" i="29"/>
  <c r="F143" i="29"/>
  <c r="F136" i="29"/>
  <c r="F13" i="41"/>
  <c r="D446" i="30"/>
  <c r="D447" i="30"/>
  <c r="D448" i="30"/>
  <c r="D449" i="30"/>
  <c r="D450" i="30"/>
  <c r="D451" i="30"/>
  <c r="D452" i="30"/>
  <c r="D453" i="30"/>
  <c r="D454" i="30"/>
  <c r="L130" i="29"/>
  <c r="L134" i="29"/>
  <c r="L133" i="29"/>
  <c r="L132" i="29"/>
  <c r="L135" i="29"/>
  <c r="L131" i="29"/>
  <c r="L129" i="29"/>
  <c r="L12" i="41"/>
  <c r="J130" i="29"/>
  <c r="J134" i="29"/>
  <c r="J133" i="29"/>
  <c r="J132" i="29"/>
  <c r="J135" i="29"/>
  <c r="J131" i="29"/>
  <c r="J129" i="29"/>
  <c r="J12" i="41"/>
  <c r="Z12" i="41"/>
  <c r="B130" i="29"/>
  <c r="B134" i="29"/>
  <c r="B133" i="29"/>
  <c r="B132" i="29"/>
  <c r="B135" i="29"/>
  <c r="B131" i="29"/>
  <c r="B129" i="29"/>
  <c r="B12" i="41"/>
  <c r="D130" i="29"/>
  <c r="D134" i="29"/>
  <c r="D133" i="29"/>
  <c r="D132" i="29"/>
  <c r="D135" i="29"/>
  <c r="D131" i="29"/>
  <c r="D129" i="29"/>
  <c r="D12" i="41"/>
  <c r="Y12" i="41"/>
  <c r="K130" i="29"/>
  <c r="K134" i="29"/>
  <c r="K133" i="29"/>
  <c r="K132" i="29"/>
  <c r="K135" i="29"/>
  <c r="K131" i="29"/>
  <c r="K129" i="29"/>
  <c r="K12" i="41"/>
  <c r="X12" i="41"/>
  <c r="I130" i="29"/>
  <c r="I134" i="29"/>
  <c r="I133" i="29"/>
  <c r="I132" i="29"/>
  <c r="I135" i="29"/>
  <c r="I131" i="29"/>
  <c r="I129" i="29"/>
  <c r="I12" i="41"/>
  <c r="H130" i="29"/>
  <c r="H134" i="29"/>
  <c r="H133" i="29"/>
  <c r="H132" i="29"/>
  <c r="H135" i="29"/>
  <c r="H131" i="29"/>
  <c r="H129" i="29"/>
  <c r="H12" i="41"/>
  <c r="G130" i="29"/>
  <c r="G134" i="29"/>
  <c r="G133" i="29"/>
  <c r="G132" i="29"/>
  <c r="G135" i="29"/>
  <c r="G131" i="29"/>
  <c r="G129" i="29"/>
  <c r="G12" i="41"/>
  <c r="F130" i="29"/>
  <c r="F134" i="29"/>
  <c r="F133" i="29"/>
  <c r="F132" i="29"/>
  <c r="F135" i="29"/>
  <c r="F131" i="29"/>
  <c r="F129" i="29"/>
  <c r="F12" i="41"/>
  <c r="E462" i="30"/>
  <c r="E463" i="30"/>
  <c r="E464" i="30"/>
  <c r="E465" i="30"/>
  <c r="E466" i="30"/>
  <c r="E467" i="30"/>
  <c r="E468" i="30"/>
  <c r="E469" i="30"/>
  <c r="E470" i="30"/>
  <c r="E471" i="30"/>
  <c r="E472" i="30"/>
  <c r="E473" i="30"/>
  <c r="E474" i="30"/>
  <c r="E475" i="30"/>
  <c r="E476" i="30"/>
  <c r="E477" i="30"/>
  <c r="E478" i="30"/>
  <c r="E479" i="30"/>
  <c r="E480" i="30"/>
  <c r="E481" i="30"/>
  <c r="E482" i="30"/>
  <c r="E483" i="30"/>
  <c r="E484" i="30"/>
  <c r="E485" i="30"/>
  <c r="E486" i="30"/>
  <c r="E487" i="30"/>
  <c r="E488" i="30"/>
  <c r="E489" i="30"/>
  <c r="E490" i="30"/>
  <c r="E491" i="30"/>
  <c r="E492" i="30"/>
  <c r="E493" i="30"/>
  <c r="E494" i="30"/>
  <c r="E495" i="30"/>
  <c r="E496" i="30"/>
  <c r="E497" i="30"/>
  <c r="L126" i="29"/>
  <c r="L125" i="29"/>
  <c r="L128" i="29"/>
  <c r="L127" i="29"/>
  <c r="L124" i="29"/>
  <c r="L11" i="41"/>
  <c r="J126" i="29"/>
  <c r="J125" i="29"/>
  <c r="J128" i="29"/>
  <c r="J127" i="29"/>
  <c r="J124" i="29"/>
  <c r="J11" i="41"/>
  <c r="Z11" i="41"/>
  <c r="B126" i="29"/>
  <c r="B125" i="29"/>
  <c r="B128" i="29"/>
  <c r="B127" i="29"/>
  <c r="B124" i="29"/>
  <c r="B11" i="41"/>
  <c r="D126" i="29"/>
  <c r="D125" i="29"/>
  <c r="D128" i="29"/>
  <c r="D127" i="29"/>
  <c r="D124" i="29"/>
  <c r="D11" i="41"/>
  <c r="Y11" i="41"/>
  <c r="K126" i="29"/>
  <c r="K125" i="29"/>
  <c r="K128" i="29"/>
  <c r="K127" i="29"/>
  <c r="K124" i="29"/>
  <c r="K11" i="41"/>
  <c r="X11" i="41"/>
  <c r="I126" i="29"/>
  <c r="I125" i="29"/>
  <c r="I128" i="29"/>
  <c r="I127" i="29"/>
  <c r="I124" i="29"/>
  <c r="I11" i="41"/>
  <c r="H126" i="29"/>
  <c r="H125" i="29"/>
  <c r="H128" i="29"/>
  <c r="H127" i="29"/>
  <c r="H124" i="29"/>
  <c r="H11" i="41"/>
  <c r="G126" i="29"/>
  <c r="G125" i="29"/>
  <c r="G128" i="29"/>
  <c r="G127" i="29"/>
  <c r="G124" i="29"/>
  <c r="G11" i="41"/>
  <c r="F126" i="29"/>
  <c r="F125" i="29"/>
  <c r="F128" i="29"/>
  <c r="F127" i="29"/>
  <c r="F124" i="29"/>
  <c r="F11" i="41"/>
  <c r="D500" i="30"/>
  <c r="D501" i="30"/>
  <c r="L122" i="29"/>
  <c r="L123" i="29"/>
  <c r="L121" i="29"/>
  <c r="L10" i="41"/>
  <c r="J122" i="29"/>
  <c r="J123" i="29"/>
  <c r="J121" i="29"/>
  <c r="J10" i="41"/>
  <c r="Z10" i="41"/>
  <c r="B122" i="29"/>
  <c r="B123" i="29"/>
  <c r="B121" i="29"/>
  <c r="B10" i="41"/>
  <c r="H62" i="28"/>
  <c r="D122" i="29"/>
  <c r="D123" i="29"/>
  <c r="D121" i="29"/>
  <c r="D10" i="41"/>
  <c r="Y10" i="41"/>
  <c r="K122" i="29"/>
  <c r="K123" i="29"/>
  <c r="K121" i="29"/>
  <c r="K10" i="41"/>
  <c r="X10" i="41"/>
  <c r="I122" i="29"/>
  <c r="I123" i="29"/>
  <c r="I121" i="29"/>
  <c r="I10" i="41"/>
  <c r="H122" i="29"/>
  <c r="H123" i="29"/>
  <c r="H121" i="29"/>
  <c r="H10" i="41"/>
  <c r="G122" i="29"/>
  <c r="G123" i="29"/>
  <c r="G121" i="29"/>
  <c r="G10" i="41"/>
  <c r="F122" i="29"/>
  <c r="F123" i="29"/>
  <c r="F121" i="29"/>
  <c r="F10" i="41"/>
  <c r="D531" i="30"/>
  <c r="D532" i="30"/>
  <c r="D533" i="30"/>
  <c r="D534" i="30"/>
  <c r="D535" i="30"/>
  <c r="D536" i="30"/>
  <c r="D537" i="30"/>
  <c r="D538" i="30"/>
  <c r="D539" i="30"/>
  <c r="D540" i="30"/>
  <c r="D541" i="30"/>
  <c r="D542" i="30"/>
  <c r="D543" i="30"/>
  <c r="D544" i="30"/>
  <c r="D545" i="30"/>
  <c r="D546" i="30"/>
  <c r="D547" i="30"/>
  <c r="D548" i="30"/>
  <c r="D549" i="30"/>
  <c r="D550" i="30"/>
  <c r="D514" i="30"/>
  <c r="D515" i="30"/>
  <c r="D516" i="30"/>
  <c r="D517" i="30"/>
  <c r="D518" i="30"/>
  <c r="D519" i="30"/>
  <c r="D520" i="30"/>
  <c r="D521" i="30"/>
  <c r="D522" i="30"/>
  <c r="D523" i="30"/>
  <c r="D524" i="30"/>
  <c r="D525" i="30"/>
  <c r="D526" i="30"/>
  <c r="D527" i="30"/>
  <c r="D528" i="30"/>
  <c r="E553" i="30"/>
  <c r="E554" i="30"/>
  <c r="E555" i="30"/>
  <c r="E556" i="30"/>
  <c r="E557" i="30"/>
  <c r="E558" i="30"/>
  <c r="E559" i="30"/>
  <c r="E560" i="30"/>
  <c r="E561" i="30"/>
  <c r="E562" i="30"/>
  <c r="E563" i="30"/>
  <c r="E564" i="30"/>
  <c r="E565" i="30"/>
  <c r="E566" i="30"/>
  <c r="E567" i="30"/>
  <c r="E568" i="30"/>
  <c r="E569" i="30"/>
  <c r="E570" i="30"/>
  <c r="E571" i="30"/>
  <c r="E572" i="30"/>
  <c r="E573" i="30"/>
  <c r="E574" i="30"/>
  <c r="E575" i="30"/>
  <c r="E576" i="30"/>
  <c r="E577" i="30"/>
  <c r="E578" i="30"/>
  <c r="E579" i="30"/>
  <c r="E580" i="30"/>
  <c r="E581" i="30"/>
  <c r="E582" i="30"/>
  <c r="E583" i="30"/>
  <c r="E584" i="30"/>
  <c r="E585" i="30"/>
  <c r="E586" i="30"/>
  <c r="E587" i="30"/>
  <c r="E588" i="30"/>
  <c r="E589" i="30"/>
  <c r="E590" i="30"/>
  <c r="E591" i="30"/>
  <c r="E592" i="30"/>
  <c r="E593" i="30"/>
  <c r="E594" i="30"/>
  <c r="E595" i="30"/>
  <c r="E596" i="30"/>
  <c r="E597" i="30"/>
  <c r="E598" i="30"/>
  <c r="E599" i="30"/>
  <c r="E600" i="30"/>
  <c r="E601" i="30"/>
  <c r="E602" i="30"/>
  <c r="E603" i="30"/>
  <c r="E604" i="30"/>
  <c r="E605" i="30"/>
  <c r="E606" i="30"/>
  <c r="E607" i="30"/>
  <c r="E608" i="30"/>
  <c r="E609" i="30"/>
  <c r="E610" i="30"/>
  <c r="E611" i="30"/>
  <c r="E612" i="30"/>
  <c r="E613" i="30"/>
  <c r="E614" i="30"/>
  <c r="E615" i="30"/>
  <c r="E616" i="30"/>
  <c r="E617" i="30"/>
  <c r="E618" i="30"/>
  <c r="E619" i="30"/>
  <c r="E620" i="30"/>
  <c r="E621" i="30"/>
  <c r="E622" i="30"/>
  <c r="E623" i="30"/>
  <c r="E624" i="30"/>
  <c r="E625" i="30"/>
  <c r="E626" i="30"/>
  <c r="E627" i="30"/>
  <c r="L102" i="29"/>
  <c r="L101" i="29"/>
  <c r="L100" i="29"/>
  <c r="L103" i="29"/>
  <c r="L99" i="29"/>
  <c r="L106" i="29"/>
  <c r="L108" i="29"/>
  <c r="L109" i="29"/>
  <c r="L110" i="29"/>
  <c r="L107" i="29"/>
  <c r="L112" i="29"/>
  <c r="L113" i="29"/>
  <c r="L114" i="29"/>
  <c r="L111" i="29"/>
  <c r="L105" i="29"/>
  <c r="L115" i="29"/>
  <c r="L104" i="29"/>
  <c r="L117" i="29"/>
  <c r="L119" i="29"/>
  <c r="L120" i="29"/>
  <c r="L118" i="29"/>
  <c r="L116" i="29"/>
  <c r="L98" i="29"/>
  <c r="L9" i="41"/>
  <c r="J102" i="29"/>
  <c r="J101" i="29"/>
  <c r="J100" i="29"/>
  <c r="J103" i="29"/>
  <c r="J99" i="29"/>
  <c r="J106" i="29"/>
  <c r="J108" i="29"/>
  <c r="J109" i="29"/>
  <c r="J110" i="29"/>
  <c r="J107" i="29"/>
  <c r="J112" i="29"/>
  <c r="J113" i="29"/>
  <c r="J114" i="29"/>
  <c r="J111" i="29"/>
  <c r="J105" i="29"/>
  <c r="J115" i="29"/>
  <c r="J104" i="29"/>
  <c r="J117" i="29"/>
  <c r="J119" i="29"/>
  <c r="J120" i="29"/>
  <c r="J118" i="29"/>
  <c r="J116" i="29"/>
  <c r="J98" i="29"/>
  <c r="J9" i="41"/>
  <c r="Z9" i="41"/>
  <c r="B102" i="29"/>
  <c r="B101" i="29"/>
  <c r="B100" i="29"/>
  <c r="B103" i="29"/>
  <c r="B99" i="29"/>
  <c r="B106" i="29"/>
  <c r="B108" i="29"/>
  <c r="B109" i="29"/>
  <c r="B110" i="29"/>
  <c r="B107" i="29"/>
  <c r="B112" i="29"/>
  <c r="B113" i="29"/>
  <c r="B114" i="29"/>
  <c r="B111" i="29"/>
  <c r="B105" i="29"/>
  <c r="B115" i="29"/>
  <c r="B104" i="29"/>
  <c r="B117" i="29"/>
  <c r="B119" i="29"/>
  <c r="B120" i="29"/>
  <c r="B118" i="29"/>
  <c r="B116" i="29"/>
  <c r="B98" i="29"/>
  <c r="B9" i="41"/>
  <c r="D102" i="29"/>
  <c r="D101" i="29"/>
  <c r="D100" i="29"/>
  <c r="D103" i="29"/>
  <c r="D99" i="29"/>
  <c r="D106" i="29"/>
  <c r="D108" i="29"/>
  <c r="D109" i="29"/>
  <c r="D110" i="29"/>
  <c r="D107" i="29"/>
  <c r="D112" i="29"/>
  <c r="D113" i="29"/>
  <c r="D114" i="29"/>
  <c r="D111" i="29"/>
  <c r="D105" i="29"/>
  <c r="D115" i="29"/>
  <c r="D104" i="29"/>
  <c r="D117" i="29"/>
  <c r="H50" i="28"/>
  <c r="D119" i="29"/>
  <c r="D120" i="29"/>
  <c r="D118" i="29"/>
  <c r="D116" i="29"/>
  <c r="D98" i="29"/>
  <c r="D9" i="41"/>
  <c r="Y9" i="41"/>
  <c r="K102" i="29"/>
  <c r="K101" i="29"/>
  <c r="K100" i="29"/>
  <c r="K103" i="29"/>
  <c r="K99" i="29"/>
  <c r="K106" i="29"/>
  <c r="K108" i="29"/>
  <c r="K109" i="29"/>
  <c r="K110" i="29"/>
  <c r="K107" i="29"/>
  <c r="K112" i="29"/>
  <c r="K113" i="29"/>
  <c r="K114" i="29"/>
  <c r="K111" i="29"/>
  <c r="K105" i="29"/>
  <c r="K115" i="29"/>
  <c r="K104" i="29"/>
  <c r="K117" i="29"/>
  <c r="K119" i="29"/>
  <c r="K120" i="29"/>
  <c r="K118" i="29"/>
  <c r="K116" i="29"/>
  <c r="K98" i="29"/>
  <c r="K9" i="41"/>
  <c r="X9" i="41"/>
  <c r="I102" i="29"/>
  <c r="I101" i="29"/>
  <c r="I100" i="29"/>
  <c r="I103" i="29"/>
  <c r="I99" i="29"/>
  <c r="I106" i="29"/>
  <c r="I108" i="29"/>
  <c r="I109" i="29"/>
  <c r="I110" i="29"/>
  <c r="I107" i="29"/>
  <c r="I112" i="29"/>
  <c r="I113" i="29"/>
  <c r="I114" i="29"/>
  <c r="I111" i="29"/>
  <c r="I105" i="29"/>
  <c r="I115" i="29"/>
  <c r="I104" i="29"/>
  <c r="I117" i="29"/>
  <c r="I119" i="29"/>
  <c r="I120" i="29"/>
  <c r="I118" i="29"/>
  <c r="I116" i="29"/>
  <c r="I98" i="29"/>
  <c r="I9" i="41"/>
  <c r="H102" i="29"/>
  <c r="H101" i="29"/>
  <c r="H100" i="29"/>
  <c r="H103" i="29"/>
  <c r="H99" i="29"/>
  <c r="H106" i="29"/>
  <c r="H108" i="29"/>
  <c r="H109" i="29"/>
  <c r="H110" i="29"/>
  <c r="H107" i="29"/>
  <c r="H112" i="29"/>
  <c r="H113" i="29"/>
  <c r="H114" i="29"/>
  <c r="H111" i="29"/>
  <c r="H105" i="29"/>
  <c r="H115" i="29"/>
  <c r="H104" i="29"/>
  <c r="H117" i="29"/>
  <c r="H119" i="29"/>
  <c r="H120" i="29"/>
  <c r="H118" i="29"/>
  <c r="H116" i="29"/>
  <c r="H98" i="29"/>
  <c r="H9" i="41"/>
  <c r="G102" i="29"/>
  <c r="G101" i="29"/>
  <c r="G100" i="29"/>
  <c r="G103" i="29"/>
  <c r="G99" i="29"/>
  <c r="G106" i="29"/>
  <c r="G108" i="29"/>
  <c r="G109" i="29"/>
  <c r="G110" i="29"/>
  <c r="G107" i="29"/>
  <c r="G112" i="29"/>
  <c r="G113" i="29"/>
  <c r="G114" i="29"/>
  <c r="G111" i="29"/>
  <c r="G105" i="29"/>
  <c r="G115" i="29"/>
  <c r="G104" i="29"/>
  <c r="G117" i="29"/>
  <c r="G119" i="29"/>
  <c r="G120" i="29"/>
  <c r="G118" i="29"/>
  <c r="G116" i="29"/>
  <c r="G98" i="29"/>
  <c r="G9" i="41"/>
  <c r="F102" i="29"/>
  <c r="F101" i="29"/>
  <c r="F100" i="29"/>
  <c r="F103" i="29"/>
  <c r="F99" i="29"/>
  <c r="F106" i="29"/>
  <c r="F108" i="29"/>
  <c r="F109" i="29"/>
  <c r="F110" i="29"/>
  <c r="F107" i="29"/>
  <c r="F112" i="29"/>
  <c r="F113" i="29"/>
  <c r="F114" i="29"/>
  <c r="F111" i="29"/>
  <c r="F105" i="29"/>
  <c r="F115" i="29"/>
  <c r="F104" i="29"/>
  <c r="F117" i="29"/>
  <c r="F119" i="29"/>
  <c r="F120" i="29"/>
  <c r="F118" i="29"/>
  <c r="F116" i="29"/>
  <c r="F98" i="29"/>
  <c r="F9" i="41"/>
  <c r="D630" i="30"/>
  <c r="D631" i="30"/>
  <c r="D632" i="30"/>
  <c r="D633" i="30"/>
  <c r="D634" i="30"/>
  <c r="D635" i="30"/>
  <c r="D636" i="30"/>
  <c r="D637" i="30"/>
  <c r="D638" i="30"/>
  <c r="D639" i="30"/>
  <c r="D640" i="30"/>
  <c r="D641" i="30"/>
  <c r="D642" i="30"/>
  <c r="D643" i="30"/>
  <c r="D644" i="30"/>
  <c r="L87" i="29"/>
  <c r="L89" i="29"/>
  <c r="L90" i="29"/>
  <c r="L91" i="29"/>
  <c r="L88" i="29"/>
  <c r="L93" i="29"/>
  <c r="L94" i="29"/>
  <c r="L95" i="29"/>
  <c r="L92" i="29"/>
  <c r="L86" i="29"/>
  <c r="L96" i="29"/>
  <c r="L85" i="29"/>
  <c r="L97" i="29"/>
  <c r="L84" i="29"/>
  <c r="L8" i="41"/>
  <c r="J87" i="29"/>
  <c r="J89" i="29"/>
  <c r="J90" i="29"/>
  <c r="J91" i="29"/>
  <c r="J88" i="29"/>
  <c r="J93" i="29"/>
  <c r="J94" i="29"/>
  <c r="J95" i="29"/>
  <c r="J92" i="29"/>
  <c r="J86" i="29"/>
  <c r="J96" i="29"/>
  <c r="J85" i="29"/>
  <c r="J97" i="29"/>
  <c r="J84" i="29"/>
  <c r="J8" i="41"/>
  <c r="Z8" i="41"/>
  <c r="B87" i="29"/>
  <c r="B89" i="29"/>
  <c r="B90" i="29"/>
  <c r="B91" i="29"/>
  <c r="B88" i="29"/>
  <c r="B93" i="29"/>
  <c r="B94" i="29"/>
  <c r="B95" i="29"/>
  <c r="B92" i="29"/>
  <c r="B86" i="29"/>
  <c r="B96" i="29"/>
  <c r="B85" i="29"/>
  <c r="B97" i="29"/>
  <c r="B84" i="29"/>
  <c r="B8" i="41"/>
  <c r="D87" i="29"/>
  <c r="D89" i="29"/>
  <c r="D90" i="29"/>
  <c r="D91" i="29"/>
  <c r="D88" i="29"/>
  <c r="D93" i="29"/>
  <c r="D94" i="29"/>
  <c r="D95" i="29"/>
  <c r="D92" i="29"/>
  <c r="D86" i="29"/>
  <c r="D96" i="29"/>
  <c r="D85" i="29"/>
  <c r="D97" i="29"/>
  <c r="D84" i="29"/>
  <c r="D8" i="41"/>
  <c r="Y8" i="41"/>
  <c r="K87" i="29"/>
  <c r="K89" i="29"/>
  <c r="K90" i="29"/>
  <c r="K91" i="29"/>
  <c r="K88" i="29"/>
  <c r="K93" i="29"/>
  <c r="K94" i="29"/>
  <c r="K95" i="29"/>
  <c r="K92" i="29"/>
  <c r="K86" i="29"/>
  <c r="K96" i="29"/>
  <c r="K85" i="29"/>
  <c r="K97" i="29"/>
  <c r="K84" i="29"/>
  <c r="K8" i="41"/>
  <c r="X8" i="41"/>
  <c r="I87" i="29"/>
  <c r="I89" i="29"/>
  <c r="I90" i="29"/>
  <c r="I91" i="29"/>
  <c r="I88" i="29"/>
  <c r="I93" i="29"/>
  <c r="I94" i="29"/>
  <c r="I95" i="29"/>
  <c r="I92" i="29"/>
  <c r="I86" i="29"/>
  <c r="I96" i="29"/>
  <c r="I85" i="29"/>
  <c r="I97" i="29"/>
  <c r="I84" i="29"/>
  <c r="I8" i="41"/>
  <c r="H87" i="29"/>
  <c r="H89" i="29"/>
  <c r="H90" i="29"/>
  <c r="H91" i="29"/>
  <c r="H88" i="29"/>
  <c r="H93" i="29"/>
  <c r="H94" i="29"/>
  <c r="H95" i="29"/>
  <c r="H92" i="29"/>
  <c r="H86" i="29"/>
  <c r="H96" i="29"/>
  <c r="H85" i="29"/>
  <c r="H97" i="29"/>
  <c r="H84" i="29"/>
  <c r="H8" i="41"/>
  <c r="G87" i="29"/>
  <c r="G89" i="29"/>
  <c r="G90" i="29"/>
  <c r="G91" i="29"/>
  <c r="G88" i="29"/>
  <c r="G93" i="29"/>
  <c r="G94" i="29"/>
  <c r="G95" i="29"/>
  <c r="G92" i="29"/>
  <c r="G86" i="29"/>
  <c r="G96" i="29"/>
  <c r="G85" i="29"/>
  <c r="G97" i="29"/>
  <c r="G84" i="29"/>
  <c r="G8" i="41"/>
  <c r="F87" i="29"/>
  <c r="F89" i="29"/>
  <c r="F90" i="29"/>
  <c r="F91" i="29"/>
  <c r="F88" i="29"/>
  <c r="F93" i="29"/>
  <c r="F94" i="29"/>
  <c r="F95" i="29"/>
  <c r="F92" i="29"/>
  <c r="F86" i="29"/>
  <c r="F96" i="29"/>
  <c r="F85" i="29"/>
  <c r="F97" i="29"/>
  <c r="F84" i="29"/>
  <c r="F8" i="41"/>
  <c r="AD7" i="41"/>
  <c r="D662" i="30"/>
  <c r="D663" i="30"/>
  <c r="D664" i="30"/>
  <c r="D665" i="30"/>
  <c r="D666" i="30"/>
  <c r="D667" i="30"/>
  <c r="D668" i="30"/>
  <c r="D669" i="30"/>
  <c r="D670" i="30"/>
  <c r="L80" i="29"/>
  <c r="L81" i="29"/>
  <c r="L79" i="29"/>
  <c r="L83" i="29"/>
  <c r="L82" i="29"/>
  <c r="L78" i="29"/>
  <c r="L7" i="41"/>
  <c r="J80" i="29"/>
  <c r="J81" i="29"/>
  <c r="J79" i="29"/>
  <c r="J83" i="29"/>
  <c r="J82" i="29"/>
  <c r="J78" i="29"/>
  <c r="J7" i="41"/>
  <c r="Z7" i="41"/>
  <c r="B80" i="29"/>
  <c r="B81" i="29"/>
  <c r="B79" i="29"/>
  <c r="B83" i="29"/>
  <c r="B82" i="29"/>
  <c r="B78" i="29"/>
  <c r="B7" i="41"/>
  <c r="H58" i="28"/>
  <c r="D80" i="29"/>
  <c r="H64" i="28"/>
  <c r="D81" i="29"/>
  <c r="D79" i="29"/>
  <c r="D83" i="29"/>
  <c r="D82" i="29"/>
  <c r="D78" i="29"/>
  <c r="D7" i="41"/>
  <c r="Y7" i="41"/>
  <c r="K80" i="29"/>
  <c r="K81" i="29"/>
  <c r="K79" i="29"/>
  <c r="K83" i="29"/>
  <c r="K82" i="29"/>
  <c r="K78" i="29"/>
  <c r="K7" i="41"/>
  <c r="X7" i="41"/>
  <c r="I80" i="29"/>
  <c r="I81" i="29"/>
  <c r="I79" i="29"/>
  <c r="I83" i="29"/>
  <c r="I82" i="29"/>
  <c r="I78" i="29"/>
  <c r="I7" i="41"/>
  <c r="H80" i="29"/>
  <c r="H81" i="29"/>
  <c r="H79" i="29"/>
  <c r="H83" i="29"/>
  <c r="H82" i="29"/>
  <c r="H78" i="29"/>
  <c r="H7" i="41"/>
  <c r="G80" i="29"/>
  <c r="G81" i="29"/>
  <c r="G79" i="29"/>
  <c r="G83" i="29"/>
  <c r="G82" i="29"/>
  <c r="G78" i="29"/>
  <c r="G7" i="41"/>
  <c r="F80" i="29"/>
  <c r="F81" i="29"/>
  <c r="F79" i="29"/>
  <c r="F83" i="29"/>
  <c r="F82" i="29"/>
  <c r="F78" i="29"/>
  <c r="F7" i="41"/>
  <c r="AD6" i="41"/>
  <c r="E673" i="30"/>
  <c r="E674" i="30"/>
  <c r="E675" i="30"/>
  <c r="E676" i="30"/>
  <c r="E677" i="30"/>
  <c r="E678" i="30"/>
  <c r="E679" i="30"/>
  <c r="E680" i="30"/>
  <c r="E681" i="30"/>
  <c r="E682" i="30"/>
  <c r="E683" i="30"/>
  <c r="E684" i="30"/>
  <c r="E685" i="30"/>
  <c r="E686" i="30"/>
  <c r="E687" i="30"/>
  <c r="E688" i="30"/>
  <c r="E689" i="30"/>
  <c r="E690" i="30"/>
  <c r="E691" i="30"/>
  <c r="E692" i="30"/>
  <c r="E693" i="30"/>
  <c r="E694" i="30"/>
  <c r="E695" i="30"/>
  <c r="E696" i="30"/>
  <c r="E697" i="30"/>
  <c r="E698" i="30"/>
  <c r="E699" i="30"/>
  <c r="E700" i="30"/>
  <c r="E701" i="30"/>
  <c r="E702" i="30"/>
  <c r="L75" i="29"/>
  <c r="L76" i="29"/>
  <c r="L77" i="29"/>
  <c r="L74" i="29"/>
  <c r="L6" i="41"/>
  <c r="J75" i="29"/>
  <c r="J76" i="29"/>
  <c r="J77" i="29"/>
  <c r="J74" i="29"/>
  <c r="J6" i="41"/>
  <c r="Z6" i="41"/>
  <c r="B75" i="29"/>
  <c r="B76" i="29"/>
  <c r="B77" i="29"/>
  <c r="B74" i="29"/>
  <c r="B6" i="41"/>
  <c r="D75" i="29"/>
  <c r="H63" i="28"/>
  <c r="D76" i="29"/>
  <c r="D77" i="29"/>
  <c r="D74" i="29"/>
  <c r="D6" i="41"/>
  <c r="Y6" i="41"/>
  <c r="K75" i="29"/>
  <c r="K76" i="29"/>
  <c r="K77" i="29"/>
  <c r="K74" i="29"/>
  <c r="K6" i="41"/>
  <c r="X6" i="41"/>
  <c r="I75" i="29"/>
  <c r="I76" i="29"/>
  <c r="I77" i="29"/>
  <c r="I74" i="29"/>
  <c r="I6" i="41"/>
  <c r="H75" i="29"/>
  <c r="H76" i="29"/>
  <c r="H77" i="29"/>
  <c r="H74" i="29"/>
  <c r="H6" i="41"/>
  <c r="G75" i="29"/>
  <c r="G76" i="29"/>
  <c r="G77" i="29"/>
  <c r="G74" i="29"/>
  <c r="G6" i="41"/>
  <c r="F75" i="29"/>
  <c r="F76" i="29"/>
  <c r="F77" i="29"/>
  <c r="F74" i="29"/>
  <c r="F6" i="41"/>
  <c r="AD5" i="41"/>
  <c r="D705" i="30"/>
  <c r="D706" i="30"/>
  <c r="D707" i="30"/>
  <c r="D708" i="30"/>
  <c r="D709" i="30"/>
  <c r="D710" i="30"/>
  <c r="D711" i="30"/>
  <c r="D712" i="30"/>
  <c r="D713" i="30"/>
  <c r="L72" i="29"/>
  <c r="L73" i="29"/>
  <c r="L71" i="29"/>
  <c r="L5" i="41"/>
  <c r="J72" i="29"/>
  <c r="J73" i="29"/>
  <c r="J71" i="29"/>
  <c r="J5" i="41"/>
  <c r="Z5" i="41"/>
  <c r="B72" i="29"/>
  <c r="B73" i="29"/>
  <c r="B71" i="29"/>
  <c r="B5" i="41"/>
  <c r="D72" i="29"/>
  <c r="D73" i="29"/>
  <c r="D71" i="29"/>
  <c r="D5" i="41"/>
  <c r="Y5" i="41"/>
  <c r="K72" i="29"/>
  <c r="K73" i="29"/>
  <c r="K71" i="29"/>
  <c r="K5" i="41"/>
  <c r="X5" i="41"/>
  <c r="I72" i="29"/>
  <c r="I73" i="29"/>
  <c r="I71" i="29"/>
  <c r="I5" i="41"/>
  <c r="H72" i="29"/>
  <c r="H73" i="29"/>
  <c r="H71" i="29"/>
  <c r="H5" i="41"/>
  <c r="G72" i="29"/>
  <c r="G73" i="29"/>
  <c r="G71" i="29"/>
  <c r="G5" i="41"/>
  <c r="F72" i="29"/>
  <c r="F73" i="29"/>
  <c r="F71" i="29"/>
  <c r="F5" i="41"/>
  <c r="D889" i="30"/>
  <c r="D890" i="30"/>
  <c r="D891" i="30"/>
  <c r="D892" i="30"/>
  <c r="D893" i="30"/>
  <c r="D894" i="30"/>
  <c r="E897" i="30"/>
  <c r="E898" i="30"/>
  <c r="E899" i="30"/>
  <c r="E900" i="30"/>
  <c r="E901" i="30"/>
  <c r="E902" i="30"/>
  <c r="E903" i="30"/>
  <c r="E904" i="30"/>
  <c r="E905" i="30"/>
  <c r="E906" i="30"/>
  <c r="E907" i="30"/>
  <c r="E908" i="30"/>
  <c r="E909" i="30"/>
  <c r="E910" i="30"/>
  <c r="E911" i="30"/>
  <c r="E912" i="30"/>
  <c r="E913" i="30"/>
  <c r="E914" i="30"/>
  <c r="E915" i="30"/>
  <c r="E916" i="30"/>
  <c r="E917" i="30"/>
  <c r="E918" i="30"/>
  <c r="E919" i="30"/>
  <c r="E920" i="30"/>
  <c r="E921" i="30"/>
  <c r="E922" i="30"/>
  <c r="E923" i="30"/>
  <c r="E924" i="30"/>
  <c r="E925" i="30"/>
  <c r="E926" i="30"/>
  <c r="E927" i="30"/>
  <c r="E928" i="30"/>
  <c r="E929" i="30"/>
  <c r="E930" i="30"/>
  <c r="E931" i="30"/>
  <c r="E932" i="30"/>
  <c r="E933" i="30"/>
  <c r="E934" i="30"/>
  <c r="E935" i="30"/>
  <c r="E936" i="30"/>
  <c r="E937" i="30"/>
  <c r="E938" i="30"/>
  <c r="E939" i="30"/>
  <c r="E940" i="30"/>
  <c r="E941" i="30"/>
  <c r="E944" i="30"/>
  <c r="E945" i="30"/>
  <c r="E946" i="30"/>
  <c r="E947" i="30"/>
  <c r="E948" i="30"/>
  <c r="E949" i="30"/>
  <c r="E950" i="30"/>
  <c r="E951" i="30"/>
  <c r="E952" i="30"/>
  <c r="E953" i="30"/>
  <c r="E954" i="30"/>
  <c r="E955" i="30"/>
  <c r="E956" i="30"/>
  <c r="E957" i="30"/>
  <c r="E958" i="30"/>
  <c r="E959" i="30"/>
  <c r="E960" i="30"/>
  <c r="E961" i="30"/>
  <c r="E962" i="30"/>
  <c r="E963" i="30"/>
  <c r="E964" i="30"/>
  <c r="E965" i="30"/>
  <c r="E966" i="30"/>
  <c r="E967" i="30"/>
  <c r="E968" i="30"/>
  <c r="E969" i="30"/>
  <c r="E970" i="30"/>
  <c r="E971" i="30"/>
  <c r="E972" i="30"/>
  <c r="E973" i="30"/>
  <c r="E974" i="30"/>
  <c r="E975" i="30"/>
  <c r="E976" i="30"/>
  <c r="E977" i="30"/>
  <c r="E978" i="30"/>
  <c r="E979" i="30"/>
  <c r="E980" i="30"/>
  <c r="E981" i="30"/>
  <c r="E982" i="30"/>
  <c r="E983" i="30"/>
  <c r="E984" i="30"/>
  <c r="E985" i="30"/>
  <c r="E986" i="30"/>
  <c r="E987" i="30"/>
  <c r="E988" i="30"/>
  <c r="E989" i="30"/>
  <c r="E990" i="30"/>
  <c r="E991" i="30"/>
  <c r="E992" i="30"/>
  <c r="E993" i="30"/>
  <c r="E994" i="30"/>
  <c r="E995" i="30"/>
  <c r="E996" i="30"/>
  <c r="E997" i="30"/>
  <c r="E998" i="30"/>
  <c r="E999" i="30"/>
  <c r="E1000" i="30"/>
  <c r="E1001" i="30"/>
  <c r="E1002" i="30"/>
  <c r="E1003" i="30"/>
  <c r="E1004" i="30"/>
  <c r="E1005" i="30"/>
  <c r="E1006" i="30"/>
  <c r="E1007" i="30"/>
  <c r="E1008" i="30"/>
  <c r="E1009" i="30"/>
  <c r="E1010" i="30"/>
  <c r="E1011" i="30"/>
  <c r="E1012" i="30"/>
  <c r="E1013" i="30"/>
  <c r="E1014" i="30"/>
  <c r="E1015" i="30"/>
  <c r="E1016" i="30"/>
  <c r="E1017" i="30"/>
  <c r="E1018" i="30"/>
  <c r="E762" i="30"/>
  <c r="E763" i="30"/>
  <c r="E764" i="30"/>
  <c r="E765" i="30"/>
  <c r="E766" i="30"/>
  <c r="E767" i="30"/>
  <c r="E768" i="30"/>
  <c r="E769" i="30"/>
  <c r="E770" i="30"/>
  <c r="E771" i="30"/>
  <c r="E772" i="30"/>
  <c r="E773" i="30"/>
  <c r="E774" i="30"/>
  <c r="E775" i="30"/>
  <c r="E776" i="30"/>
  <c r="E777" i="30"/>
  <c r="E778" i="30"/>
  <c r="E779" i="30"/>
  <c r="E780" i="30"/>
  <c r="E781" i="30"/>
  <c r="E782" i="30"/>
  <c r="E783" i="30"/>
  <c r="E784" i="30"/>
  <c r="E785" i="30"/>
  <c r="E786" i="30"/>
  <c r="E787" i="30"/>
  <c r="E788" i="30"/>
  <c r="E789" i="30"/>
  <c r="E790" i="30"/>
  <c r="E791" i="30"/>
  <c r="D734" i="30"/>
  <c r="D735" i="30"/>
  <c r="D736" i="30"/>
  <c r="D737" i="30"/>
  <c r="D738" i="30"/>
  <c r="D739" i="30"/>
  <c r="D740" i="30"/>
  <c r="D741" i="30"/>
  <c r="D742" i="30"/>
  <c r="D743" i="30"/>
  <c r="D744" i="30"/>
  <c r="D745" i="30"/>
  <c r="D746" i="30"/>
  <c r="D747" i="30"/>
  <c r="D748" i="30"/>
  <c r="D717" i="30"/>
  <c r="D718" i="30"/>
  <c r="D719" i="30"/>
  <c r="D720" i="30"/>
  <c r="D721" i="30"/>
  <c r="E794" i="30"/>
  <c r="E795" i="30"/>
  <c r="E796" i="30"/>
  <c r="E797" i="30"/>
  <c r="E798" i="30"/>
  <c r="E799" i="30"/>
  <c r="E800" i="30"/>
  <c r="E801" i="30"/>
  <c r="E802" i="30"/>
  <c r="E803" i="30"/>
  <c r="E804" i="30"/>
  <c r="E805" i="30"/>
  <c r="E806" i="30"/>
  <c r="E807" i="30"/>
  <c r="E808" i="30"/>
  <c r="E809" i="30"/>
  <c r="E810" i="30"/>
  <c r="E811" i="30"/>
  <c r="E812" i="30"/>
  <c r="E813" i="30"/>
  <c r="E814" i="30"/>
  <c r="E815" i="30"/>
  <c r="E816" i="30"/>
  <c r="E817" i="30"/>
  <c r="E818" i="30"/>
  <c r="E819" i="30"/>
  <c r="E820" i="30"/>
  <c r="E821" i="30"/>
  <c r="E822" i="30"/>
  <c r="E823" i="30"/>
  <c r="E824" i="30"/>
  <c r="E825" i="30"/>
  <c r="E826" i="30"/>
  <c r="E827" i="30"/>
  <c r="E828" i="30"/>
  <c r="E829" i="30"/>
  <c r="E830" i="30"/>
  <c r="E831" i="30"/>
  <c r="E832" i="30"/>
  <c r="E833" i="30"/>
  <c r="E834" i="30"/>
  <c r="E835" i="30"/>
  <c r="E836" i="30"/>
  <c r="E837" i="30"/>
  <c r="E838" i="30"/>
  <c r="E839" i="30"/>
  <c r="E840" i="30"/>
  <c r="E841" i="30"/>
  <c r="E842" i="30"/>
  <c r="E843" i="30"/>
  <c r="E844" i="30"/>
  <c r="E845" i="30"/>
  <c r="E846" i="30"/>
  <c r="E847" i="30"/>
  <c r="E848" i="30"/>
  <c r="E849" i="30"/>
  <c r="E850" i="30"/>
  <c r="E851" i="30"/>
  <c r="E852" i="30"/>
  <c r="E853" i="30"/>
  <c r="E854" i="30"/>
  <c r="E855" i="30"/>
  <c r="E856" i="30"/>
  <c r="E857" i="30"/>
  <c r="D1021" i="30"/>
  <c r="D1022" i="30"/>
  <c r="D1023" i="30"/>
  <c r="D1024" i="30"/>
  <c r="D1025" i="30"/>
  <c r="D1026" i="30"/>
  <c r="D1027" i="30"/>
  <c r="D1028" i="30"/>
  <c r="D1029" i="30"/>
  <c r="D1030" i="30"/>
  <c r="D1031" i="30"/>
  <c r="D1032" i="30"/>
  <c r="D1033" i="30"/>
  <c r="D1034" i="30"/>
  <c r="D1035" i="30"/>
  <c r="D1036" i="30"/>
  <c r="D1037" i="30"/>
  <c r="D1038" i="30"/>
  <c r="D1039" i="30"/>
  <c r="D1040" i="30"/>
  <c r="D1041" i="30"/>
  <c r="D1042" i="30"/>
  <c r="D1043" i="30"/>
  <c r="D1044" i="30"/>
  <c r="D1045" i="30"/>
  <c r="D1046" i="30"/>
  <c r="D1047" i="30"/>
  <c r="D1048" i="30"/>
  <c r="D1049" i="30"/>
  <c r="D1050" i="30"/>
  <c r="D1051" i="30"/>
  <c r="D1052" i="30"/>
  <c r="D1053" i="30"/>
  <c r="D1054" i="30"/>
  <c r="D1055" i="30"/>
  <c r="L44" i="29"/>
  <c r="L45" i="29"/>
  <c r="L48" i="29"/>
  <c r="L47" i="29"/>
  <c r="L46" i="29"/>
  <c r="L43" i="29"/>
  <c r="L50" i="29"/>
  <c r="L51" i="29"/>
  <c r="L52" i="29"/>
  <c r="L49" i="29"/>
  <c r="L42" i="29"/>
  <c r="L61" i="29"/>
  <c r="L62" i="29"/>
  <c r="L60" i="29"/>
  <c r="L63" i="29"/>
  <c r="L64" i="29"/>
  <c r="L59" i="29"/>
  <c r="L66" i="29"/>
  <c r="L67" i="29"/>
  <c r="L65" i="29"/>
  <c r="L69" i="29"/>
  <c r="L70" i="29"/>
  <c r="D722" i="30"/>
  <c r="D723" i="30"/>
  <c r="D724" i="30"/>
  <c r="D725" i="30"/>
  <c r="D726" i="30"/>
  <c r="D727" i="30"/>
  <c r="D728" i="30"/>
  <c r="D729" i="30"/>
  <c r="D730" i="30"/>
  <c r="D731" i="30"/>
  <c r="L68" i="29"/>
  <c r="L58" i="29"/>
  <c r="L41" i="29"/>
  <c r="L4" i="41"/>
  <c r="J44" i="29"/>
  <c r="J45" i="29"/>
  <c r="J48" i="29"/>
  <c r="J47" i="29"/>
  <c r="J46" i="29"/>
  <c r="J43" i="29"/>
  <c r="J50" i="29"/>
  <c r="J51" i="29"/>
  <c r="J52" i="29"/>
  <c r="J49" i="29"/>
  <c r="J42" i="29"/>
  <c r="J61" i="29"/>
  <c r="J62" i="29"/>
  <c r="J60" i="29"/>
  <c r="J63" i="29"/>
  <c r="J64" i="29"/>
  <c r="J59" i="29"/>
  <c r="J66" i="29"/>
  <c r="J67" i="29"/>
  <c r="J65" i="29"/>
  <c r="J69" i="29"/>
  <c r="J70" i="29"/>
  <c r="J68" i="29"/>
  <c r="J58" i="29"/>
  <c r="J41" i="29"/>
  <c r="J4" i="41"/>
  <c r="Z4" i="41"/>
  <c r="B44" i="29"/>
  <c r="B45" i="29"/>
  <c r="B48" i="29"/>
  <c r="B47" i="29"/>
  <c r="B46" i="29"/>
  <c r="B43" i="29"/>
  <c r="B50" i="29"/>
  <c r="B51" i="29"/>
  <c r="B52" i="29"/>
  <c r="B49" i="29"/>
  <c r="B42" i="29"/>
  <c r="B61" i="29"/>
  <c r="B62" i="29"/>
  <c r="B60" i="29"/>
  <c r="B63" i="29"/>
  <c r="B64" i="29"/>
  <c r="B59" i="29"/>
  <c r="B66" i="29"/>
  <c r="B67" i="29"/>
  <c r="B65" i="29"/>
  <c r="B69" i="29"/>
  <c r="B70" i="29"/>
  <c r="B68" i="29"/>
  <c r="B58" i="29"/>
  <c r="B41" i="29"/>
  <c r="B4" i="41"/>
  <c r="D44" i="29"/>
  <c r="H47" i="28"/>
  <c r="D45" i="29"/>
  <c r="D48" i="29"/>
  <c r="D47" i="29"/>
  <c r="D46" i="29"/>
  <c r="D43" i="29"/>
  <c r="D50" i="29"/>
  <c r="D51" i="29"/>
  <c r="H51" i="28"/>
  <c r="D52" i="29"/>
  <c r="D49" i="29"/>
  <c r="D42" i="29"/>
  <c r="D61" i="29"/>
  <c r="D62" i="29"/>
  <c r="D60" i="29"/>
  <c r="D63" i="29"/>
  <c r="D64" i="29"/>
  <c r="D59" i="29"/>
  <c r="D66" i="29"/>
  <c r="D67" i="29"/>
  <c r="D65" i="29"/>
  <c r="D69" i="29"/>
  <c r="D70" i="29"/>
  <c r="D68" i="29"/>
  <c r="D58" i="29"/>
  <c r="D41" i="29"/>
  <c r="D4" i="41"/>
  <c r="Y4" i="41"/>
  <c r="K44" i="29"/>
  <c r="K45" i="29"/>
  <c r="K48" i="29"/>
  <c r="K47" i="29"/>
  <c r="K46" i="29"/>
  <c r="K43" i="29"/>
  <c r="K50" i="29"/>
  <c r="K51" i="29"/>
  <c r="K52" i="29"/>
  <c r="K49" i="29"/>
  <c r="K42" i="29"/>
  <c r="K61" i="29"/>
  <c r="K62" i="29"/>
  <c r="K60" i="29"/>
  <c r="K63" i="29"/>
  <c r="K64" i="29"/>
  <c r="K59" i="29"/>
  <c r="K66" i="29"/>
  <c r="K67" i="29"/>
  <c r="K65" i="29"/>
  <c r="K69" i="29"/>
  <c r="K70" i="29"/>
  <c r="K68" i="29"/>
  <c r="K58" i="29"/>
  <c r="K41" i="29"/>
  <c r="K4" i="41"/>
  <c r="X4" i="41"/>
  <c r="I44" i="29"/>
  <c r="I45" i="29"/>
  <c r="I48" i="29"/>
  <c r="I47" i="29"/>
  <c r="I46" i="29"/>
  <c r="I43" i="29"/>
  <c r="I50" i="29"/>
  <c r="I51" i="29"/>
  <c r="I52" i="29"/>
  <c r="I49" i="29"/>
  <c r="I42" i="29"/>
  <c r="I61" i="29"/>
  <c r="I62" i="29"/>
  <c r="I60" i="29"/>
  <c r="I63" i="29"/>
  <c r="I64" i="29"/>
  <c r="I59" i="29"/>
  <c r="I66" i="29"/>
  <c r="I67" i="29"/>
  <c r="I65" i="29"/>
  <c r="I69" i="29"/>
  <c r="I70" i="29"/>
  <c r="I68" i="29"/>
  <c r="I58" i="29"/>
  <c r="I41" i="29"/>
  <c r="I4" i="41"/>
  <c r="H44" i="29"/>
  <c r="H45" i="29"/>
  <c r="H48" i="29"/>
  <c r="H47" i="29"/>
  <c r="H46" i="29"/>
  <c r="H43" i="29"/>
  <c r="H50" i="29"/>
  <c r="H51" i="29"/>
  <c r="H52" i="29"/>
  <c r="H49" i="29"/>
  <c r="H42" i="29"/>
  <c r="H61" i="29"/>
  <c r="H62" i="29"/>
  <c r="H60" i="29"/>
  <c r="H63" i="29"/>
  <c r="H64" i="29"/>
  <c r="H59" i="29"/>
  <c r="H66" i="29"/>
  <c r="H67" i="29"/>
  <c r="H65" i="29"/>
  <c r="H69" i="29"/>
  <c r="H70" i="29"/>
  <c r="H68" i="29"/>
  <c r="H58" i="29"/>
  <c r="H41" i="29"/>
  <c r="H4" i="41"/>
  <c r="G44" i="29"/>
  <c r="G45" i="29"/>
  <c r="G48" i="29"/>
  <c r="G47" i="29"/>
  <c r="G46" i="29"/>
  <c r="G43" i="29"/>
  <c r="G50" i="29"/>
  <c r="G51" i="29"/>
  <c r="G52" i="29"/>
  <c r="G49" i="29"/>
  <c r="G42" i="29"/>
  <c r="G61" i="29"/>
  <c r="G62" i="29"/>
  <c r="G60" i="29"/>
  <c r="G63" i="29"/>
  <c r="G64" i="29"/>
  <c r="G59" i="29"/>
  <c r="G66" i="29"/>
  <c r="G67" i="29"/>
  <c r="G65" i="29"/>
  <c r="G69" i="29"/>
  <c r="G70" i="29"/>
  <c r="G68" i="29"/>
  <c r="G58" i="29"/>
  <c r="G41" i="29"/>
  <c r="G4" i="41"/>
  <c r="F44" i="29"/>
  <c r="F45" i="29"/>
  <c r="F48" i="29"/>
  <c r="F47" i="29"/>
  <c r="F46" i="29"/>
  <c r="F43" i="29"/>
  <c r="F50" i="29"/>
  <c r="F51" i="29"/>
  <c r="F52" i="29"/>
  <c r="F49" i="29"/>
  <c r="F42" i="29"/>
  <c r="F61" i="29"/>
  <c r="F62" i="29"/>
  <c r="F60" i="29"/>
  <c r="F63" i="29"/>
  <c r="F64" i="29"/>
  <c r="F59" i="29"/>
  <c r="F66" i="29"/>
  <c r="F67" i="29"/>
  <c r="F65" i="29"/>
  <c r="F69" i="29"/>
  <c r="F70" i="29"/>
  <c r="F68" i="29"/>
  <c r="F58" i="29"/>
  <c r="F41" i="29"/>
  <c r="F4" i="41"/>
  <c r="D423" i="30"/>
  <c r="C112" i="32"/>
  <c r="L20" i="32"/>
  <c r="L24" i="32"/>
  <c r="J100" i="32"/>
  <c r="J24" i="32"/>
  <c r="J91" i="32"/>
  <c r="C117" i="32"/>
  <c r="C74" i="32"/>
  <c r="C70" i="32"/>
  <c r="C54" i="32"/>
  <c r="L44" i="32"/>
  <c r="L43" i="32"/>
  <c r="J58" i="32"/>
  <c r="B197" i="29"/>
  <c r="E24" i="32"/>
  <c r="D24" i="32"/>
  <c r="B120" i="32"/>
  <c r="E117" i="32"/>
  <c r="B114" i="32"/>
  <c r="E74" i="32"/>
  <c r="D75" i="32"/>
  <c r="B67" i="32"/>
  <c r="E67" i="32"/>
  <c r="E42" i="32"/>
  <c r="E46" i="32"/>
  <c r="E54" i="32"/>
  <c r="D42" i="32"/>
  <c r="D50" i="32"/>
  <c r="D56" i="32"/>
  <c r="D63" i="32"/>
  <c r="K136" i="32"/>
  <c r="K3" i="32"/>
  <c r="K24" i="32"/>
  <c r="K34" i="32"/>
  <c r="K75" i="32"/>
  <c r="K101" i="32"/>
  <c r="K84" i="32"/>
  <c r="K46" i="32"/>
  <c r="K55" i="32"/>
  <c r="F22" i="32"/>
  <c r="G3" i="32"/>
  <c r="G140" i="32"/>
  <c r="G16" i="32"/>
  <c r="G17" i="32"/>
  <c r="G20" i="32"/>
  <c r="G21" i="32"/>
  <c r="G22" i="32"/>
  <c r="G24" i="32"/>
  <c r="G34" i="32"/>
  <c r="H9" i="32"/>
  <c r="H10" i="32"/>
  <c r="H14" i="32"/>
  <c r="H16" i="32"/>
  <c r="H27" i="32"/>
  <c r="H25" i="32"/>
  <c r="I9" i="32"/>
  <c r="I144" i="32"/>
  <c r="I19" i="32"/>
  <c r="I24" i="32"/>
  <c r="I27" i="32"/>
  <c r="F44" i="32"/>
  <c r="F39" i="32"/>
  <c r="F63" i="32"/>
  <c r="F51" i="32"/>
  <c r="F60" i="32"/>
  <c r="G45" i="32"/>
  <c r="G51" i="32"/>
  <c r="G58" i="32"/>
  <c r="H42" i="32"/>
  <c r="H60" i="32"/>
  <c r="I63" i="32"/>
  <c r="I54" i="32"/>
  <c r="I58" i="32"/>
  <c r="B142" i="32"/>
  <c r="B144" i="32"/>
  <c r="C140" i="32"/>
  <c r="C143" i="32"/>
  <c r="C144" i="32"/>
  <c r="C145" i="32"/>
  <c r="D140" i="32"/>
  <c r="D142" i="32"/>
  <c r="D143" i="32"/>
  <c r="D146" i="32"/>
  <c r="D147" i="32"/>
  <c r="E145" i="32"/>
  <c r="F142" i="32"/>
  <c r="F144" i="32"/>
  <c r="F146" i="32"/>
  <c r="F148" i="32"/>
  <c r="G143" i="32"/>
  <c r="H143" i="32"/>
  <c r="H147" i="32"/>
  <c r="H148" i="32"/>
  <c r="I140" i="32"/>
  <c r="I147" i="32"/>
  <c r="I148" i="32"/>
  <c r="J142" i="32"/>
  <c r="J145" i="32"/>
  <c r="K142" i="32"/>
  <c r="K148" i="32"/>
  <c r="L143" i="32"/>
  <c r="L146" i="32"/>
  <c r="L147" i="32"/>
  <c r="B140" i="32"/>
  <c r="E140" i="32"/>
  <c r="F140" i="32"/>
  <c r="H140" i="32"/>
  <c r="L140" i="32"/>
  <c r="C142" i="32"/>
  <c r="G142" i="32"/>
  <c r="H142" i="32"/>
  <c r="L142" i="32"/>
  <c r="B143" i="32"/>
  <c r="E143" i="32"/>
  <c r="F143" i="32"/>
  <c r="J143" i="32"/>
  <c r="D144" i="32"/>
  <c r="H144" i="32"/>
  <c r="J144" i="32"/>
  <c r="L144" i="32"/>
  <c r="E146" i="32"/>
  <c r="I146" i="32"/>
  <c r="J146" i="32"/>
  <c r="B147" i="32"/>
  <c r="C147" i="32"/>
  <c r="E147" i="32"/>
  <c r="F147" i="32"/>
  <c r="G147" i="32"/>
  <c r="J147" i="32"/>
  <c r="K147" i="32"/>
  <c r="B148" i="32"/>
  <c r="C148" i="32"/>
  <c r="G148" i="32"/>
  <c r="J148" i="32"/>
  <c r="L148" i="32"/>
  <c r="D126" i="30"/>
  <c r="D127" i="30"/>
  <c r="D128" i="30"/>
  <c r="D129" i="30"/>
  <c r="D130" i="30"/>
  <c r="D131" i="30"/>
  <c r="B150" i="32"/>
  <c r="C150" i="32"/>
  <c r="D150" i="32"/>
  <c r="E150" i="32"/>
  <c r="F150" i="32"/>
  <c r="G150" i="32"/>
  <c r="H150" i="32"/>
  <c r="I150" i="32"/>
  <c r="J150" i="32"/>
  <c r="K150" i="32"/>
  <c r="L150" i="32"/>
  <c r="B3" i="32"/>
  <c r="C3" i="32"/>
  <c r="D3" i="32"/>
  <c r="E3" i="32"/>
  <c r="F3" i="32"/>
  <c r="H3" i="32"/>
  <c r="J3" i="32"/>
  <c r="L3" i="32"/>
  <c r="B9" i="32"/>
  <c r="C9" i="32"/>
  <c r="E9" i="32"/>
  <c r="F9" i="32"/>
  <c r="L9" i="32"/>
  <c r="F10" i="32"/>
  <c r="B11" i="32"/>
  <c r="C11" i="32"/>
  <c r="D11" i="32"/>
  <c r="E11" i="32"/>
  <c r="F11" i="32"/>
  <c r="G11" i="32"/>
  <c r="H11" i="32"/>
  <c r="J11" i="32"/>
  <c r="K11" i="32"/>
  <c r="L11" i="32"/>
  <c r="B12" i="32"/>
  <c r="C12" i="32"/>
  <c r="D12" i="32"/>
  <c r="E12" i="32"/>
  <c r="F12" i="32"/>
  <c r="G12" i="32"/>
  <c r="H12" i="32"/>
  <c r="K12" i="32"/>
  <c r="L12" i="32"/>
  <c r="B13" i="32"/>
  <c r="C13" i="32"/>
  <c r="D13" i="32"/>
  <c r="E13" i="32"/>
  <c r="F13" i="32"/>
  <c r="G13" i="32"/>
  <c r="H13" i="32"/>
  <c r="I13" i="32"/>
  <c r="K13" i="32"/>
  <c r="L13" i="32"/>
  <c r="B14" i="32"/>
  <c r="C14" i="32"/>
  <c r="B15" i="32"/>
  <c r="C15" i="32"/>
  <c r="F15" i="32"/>
  <c r="H15" i="32"/>
  <c r="I15" i="32"/>
  <c r="K15" i="32"/>
  <c r="B16" i="32"/>
  <c r="C16" i="32"/>
  <c r="D16" i="32"/>
  <c r="F16" i="32"/>
  <c r="I16" i="32"/>
  <c r="B17" i="32"/>
  <c r="C17" i="32"/>
  <c r="D17" i="32"/>
  <c r="E17" i="32"/>
  <c r="H17" i="32"/>
  <c r="J17" i="32"/>
  <c r="K17" i="32"/>
  <c r="L17" i="32"/>
  <c r="J20" i="32"/>
  <c r="B21" i="32"/>
  <c r="C21" i="32"/>
  <c r="D21" i="32"/>
  <c r="E21" i="32"/>
  <c r="F21" i="32"/>
  <c r="H21" i="32"/>
  <c r="I21" i="32"/>
  <c r="J21" i="32"/>
  <c r="B23" i="32"/>
  <c r="D23" i="32"/>
  <c r="E23" i="32"/>
  <c r="F23" i="32"/>
  <c r="G23" i="32"/>
  <c r="H23" i="32"/>
  <c r="I23" i="32"/>
  <c r="J23" i="32"/>
  <c r="L23" i="32"/>
  <c r="B24" i="32"/>
  <c r="C24" i="32"/>
  <c r="F24" i="32"/>
  <c r="H24" i="32"/>
  <c r="I25" i="32"/>
  <c r="J25" i="32"/>
  <c r="K25" i="32"/>
  <c r="L25" i="32"/>
  <c r="B26" i="32"/>
  <c r="C26" i="32"/>
  <c r="D26" i="32"/>
  <c r="E26" i="32"/>
  <c r="F26" i="32"/>
  <c r="G26" i="32"/>
  <c r="H26" i="32"/>
  <c r="I26" i="32"/>
  <c r="J26" i="32"/>
  <c r="K26" i="32"/>
  <c r="L26" i="32"/>
  <c r="B27" i="32"/>
  <c r="D27" i="32"/>
  <c r="E27" i="32"/>
  <c r="F27" i="32"/>
  <c r="J27" i="32"/>
  <c r="K27" i="32"/>
  <c r="L27" i="32"/>
  <c r="B31" i="32"/>
  <c r="C31" i="32"/>
  <c r="D31" i="32"/>
  <c r="E31" i="32"/>
  <c r="F31" i="32"/>
  <c r="G31" i="32"/>
  <c r="H31" i="32"/>
  <c r="I31" i="32"/>
  <c r="J31" i="32"/>
  <c r="K31" i="32"/>
  <c r="L31" i="32"/>
  <c r="B34" i="32"/>
  <c r="C34" i="32"/>
  <c r="D34" i="32"/>
  <c r="E34" i="32"/>
  <c r="F34" i="32"/>
  <c r="H34" i="32"/>
  <c r="I34" i="32"/>
  <c r="J34" i="32"/>
  <c r="L34" i="32"/>
  <c r="C39" i="32"/>
  <c r="D39" i="32"/>
  <c r="E39" i="32"/>
  <c r="J39" i="32"/>
  <c r="K39" i="32"/>
  <c r="B42" i="32"/>
  <c r="C42" i="32"/>
  <c r="F42" i="32"/>
  <c r="G42" i="32"/>
  <c r="I42" i="32"/>
  <c r="J42" i="32"/>
  <c r="L42" i="32"/>
  <c r="D44" i="32"/>
  <c r="J44" i="32"/>
  <c r="B45" i="32"/>
  <c r="C45" i="32"/>
  <c r="E45" i="32"/>
  <c r="F45" i="32"/>
  <c r="H45" i="32"/>
  <c r="I45" i="32"/>
  <c r="J45" i="32"/>
  <c r="L45" i="32"/>
  <c r="B46" i="32"/>
  <c r="C46" i="32"/>
  <c r="D46" i="32"/>
  <c r="F46" i="32"/>
  <c r="G46" i="32"/>
  <c r="I46" i="32"/>
  <c r="J46" i="32"/>
  <c r="L46" i="32"/>
  <c r="B50" i="32"/>
  <c r="C50" i="32"/>
  <c r="E50" i="32"/>
  <c r="H50" i="32"/>
  <c r="I50" i="32"/>
  <c r="J50" i="32"/>
  <c r="K50" i="32"/>
  <c r="L50" i="32"/>
  <c r="B51" i="32"/>
  <c r="C51" i="32"/>
  <c r="D51" i="32"/>
  <c r="E51" i="32"/>
  <c r="H51" i="32"/>
  <c r="I51" i="32"/>
  <c r="J51" i="32"/>
  <c r="K51" i="32"/>
  <c r="L51" i="32"/>
  <c r="H54" i="32"/>
  <c r="J54" i="32"/>
  <c r="C55" i="32"/>
  <c r="D55" i="32"/>
  <c r="E55" i="32"/>
  <c r="I55" i="32"/>
  <c r="J55" i="32"/>
  <c r="B56" i="32"/>
  <c r="C56" i="32"/>
  <c r="E56" i="32"/>
  <c r="F56" i="32"/>
  <c r="G56" i="32"/>
  <c r="H56" i="32"/>
  <c r="I56" i="32"/>
  <c r="J56" i="32"/>
  <c r="K56" i="32"/>
  <c r="L56" i="32"/>
  <c r="B58" i="32"/>
  <c r="C58" i="32"/>
  <c r="D58" i="32"/>
  <c r="E58" i="32"/>
  <c r="F58" i="32"/>
  <c r="H58" i="32"/>
  <c r="K58" i="32"/>
  <c r="L58" i="32"/>
  <c r="B60" i="32"/>
  <c r="C60" i="32"/>
  <c r="D60" i="32"/>
  <c r="E60" i="32"/>
  <c r="J60" i="32"/>
  <c r="K60" i="32"/>
  <c r="L60" i="32"/>
  <c r="C63" i="32"/>
  <c r="E63" i="32"/>
  <c r="G63" i="32"/>
  <c r="H63" i="32"/>
  <c r="J63" i="32"/>
  <c r="L63" i="32"/>
  <c r="C65" i="32"/>
  <c r="F67" i="32"/>
  <c r="G67" i="32"/>
  <c r="I67" i="32"/>
  <c r="B66" i="32"/>
  <c r="C66" i="32"/>
  <c r="D66" i="32"/>
  <c r="E66" i="32"/>
  <c r="F66" i="32"/>
  <c r="J66" i="32"/>
  <c r="L66" i="32"/>
  <c r="C67" i="32"/>
  <c r="D67" i="32"/>
  <c r="H67" i="32"/>
  <c r="J67" i="32"/>
  <c r="K67" i="32"/>
  <c r="L67" i="32"/>
  <c r="F70" i="32"/>
  <c r="G69" i="32"/>
  <c r="G70" i="32"/>
  <c r="H69" i="32"/>
  <c r="H70" i="32"/>
  <c r="I70" i="32"/>
  <c r="B69" i="32"/>
  <c r="C69" i="32"/>
  <c r="D69" i="32"/>
  <c r="E69" i="32"/>
  <c r="F69" i="32"/>
  <c r="J69" i="32"/>
  <c r="K69" i="32"/>
  <c r="L69" i="32"/>
  <c r="B70" i="32"/>
  <c r="D70" i="32"/>
  <c r="E70" i="32"/>
  <c r="J70" i="32"/>
  <c r="K70" i="32"/>
  <c r="L70" i="32"/>
  <c r="G75" i="32"/>
  <c r="I74" i="32"/>
  <c r="L73" i="32"/>
  <c r="D74" i="32"/>
  <c r="F74" i="32"/>
  <c r="G74" i="32"/>
  <c r="J74" i="32"/>
  <c r="K74" i="32"/>
  <c r="L74" i="32"/>
  <c r="B75" i="32"/>
  <c r="C75" i="32"/>
  <c r="E75" i="32"/>
  <c r="I75" i="32"/>
  <c r="J75" i="32"/>
  <c r="L75" i="32"/>
  <c r="F81" i="32"/>
  <c r="F84" i="32"/>
  <c r="F89" i="32"/>
  <c r="G85" i="32"/>
  <c r="G88" i="32"/>
  <c r="G89" i="32"/>
  <c r="G91" i="32"/>
  <c r="H85" i="32"/>
  <c r="H88" i="32"/>
  <c r="H91" i="32"/>
  <c r="I85" i="32"/>
  <c r="I88" i="32"/>
  <c r="I89" i="32"/>
  <c r="I91" i="32"/>
  <c r="J80" i="32"/>
  <c r="L80" i="32"/>
  <c r="B81" i="32"/>
  <c r="C81" i="32"/>
  <c r="E81" i="32"/>
  <c r="G81" i="32"/>
  <c r="I81" i="32"/>
  <c r="J81" i="32"/>
  <c r="L81" i="32"/>
  <c r="C82" i="32"/>
  <c r="J82" i="32"/>
  <c r="L82" i="32"/>
  <c r="B83" i="32"/>
  <c r="C83" i="32"/>
  <c r="E83" i="32"/>
  <c r="F83" i="32"/>
  <c r="G83" i="32"/>
  <c r="J83" i="32"/>
  <c r="K83" i="32"/>
  <c r="L83" i="32"/>
  <c r="B84" i="32"/>
  <c r="C84" i="32"/>
  <c r="D84" i="32"/>
  <c r="E84" i="32"/>
  <c r="G84" i="32"/>
  <c r="H84" i="32"/>
  <c r="I84" i="32"/>
  <c r="J84" i="32"/>
  <c r="L84" i="32"/>
  <c r="B85" i="32"/>
  <c r="C85" i="32"/>
  <c r="D85" i="32"/>
  <c r="E85" i="32"/>
  <c r="J85" i="32"/>
  <c r="L85" i="32"/>
  <c r="C86" i="32"/>
  <c r="D86" i="32"/>
  <c r="J86" i="32"/>
  <c r="L86" i="32"/>
  <c r="B87" i="32"/>
  <c r="C87" i="32"/>
  <c r="D87" i="32"/>
  <c r="F87" i="32"/>
  <c r="H87" i="32"/>
  <c r="I87" i="32"/>
  <c r="J87" i="32"/>
  <c r="K87" i="32"/>
  <c r="L87" i="32"/>
  <c r="B88" i="32"/>
  <c r="C88" i="32"/>
  <c r="D88" i="32"/>
  <c r="E88" i="32"/>
  <c r="F88" i="32"/>
  <c r="J88" i="32"/>
  <c r="L88" i="32"/>
  <c r="B89" i="32"/>
  <c r="C89" i="32"/>
  <c r="D89" i="32"/>
  <c r="E89" i="32"/>
  <c r="H89" i="32"/>
  <c r="J89" i="32"/>
  <c r="K89" i="32"/>
  <c r="L89" i="32"/>
  <c r="B91" i="32"/>
  <c r="C91" i="32"/>
  <c r="D91" i="32"/>
  <c r="E91" i="32"/>
  <c r="F91" i="32"/>
  <c r="K91" i="32"/>
  <c r="L91" i="32"/>
  <c r="F100" i="32"/>
  <c r="F104" i="32"/>
  <c r="F103" i="32"/>
  <c r="F107" i="32"/>
  <c r="F114" i="32"/>
  <c r="G96" i="32"/>
  <c r="G97" i="32"/>
  <c r="H97" i="32"/>
  <c r="H105" i="32"/>
  <c r="H113" i="32"/>
  <c r="H114" i="32"/>
  <c r="I97" i="32"/>
  <c r="I100" i="32"/>
  <c r="I103" i="32"/>
  <c r="I104" i="32"/>
  <c r="I105" i="32"/>
  <c r="I108" i="32"/>
  <c r="I107" i="32"/>
  <c r="I114" i="32"/>
  <c r="B96" i="32"/>
  <c r="C96" i="32"/>
  <c r="D96" i="32"/>
  <c r="E96" i="32"/>
  <c r="F96" i="32"/>
  <c r="I96" i="32"/>
  <c r="J96" i="32"/>
  <c r="K96" i="32"/>
  <c r="L96" i="32"/>
  <c r="B97" i="32"/>
  <c r="C97" i="32"/>
  <c r="D97" i="32"/>
  <c r="E97" i="32"/>
  <c r="F97" i="32"/>
  <c r="J97" i="32"/>
  <c r="K97" i="32"/>
  <c r="L97" i="32"/>
  <c r="C99" i="32"/>
  <c r="B100" i="32"/>
  <c r="C100" i="32"/>
  <c r="E100" i="32"/>
  <c r="G100" i="32"/>
  <c r="H100" i="32"/>
  <c r="L100" i="32"/>
  <c r="B101" i="32"/>
  <c r="C101" i="32"/>
  <c r="E101" i="32"/>
  <c r="J101" i="32"/>
  <c r="B102" i="32"/>
  <c r="C102" i="32"/>
  <c r="E102" i="32"/>
  <c r="F102" i="32"/>
  <c r="G102" i="32"/>
  <c r="J102" i="32"/>
  <c r="K102" i="32"/>
  <c r="L102" i="32"/>
  <c r="B103" i="32"/>
  <c r="C103" i="32"/>
  <c r="D103" i="32"/>
  <c r="E103" i="32"/>
  <c r="G103" i="32"/>
  <c r="H103" i="32"/>
  <c r="J103" i="32"/>
  <c r="K103" i="32"/>
  <c r="L103" i="32"/>
  <c r="B104" i="32"/>
  <c r="C104" i="32"/>
  <c r="D104" i="32"/>
  <c r="E104" i="32"/>
  <c r="G104" i="32"/>
  <c r="H104" i="32"/>
  <c r="J104" i="32"/>
  <c r="K104" i="32"/>
  <c r="L104" i="32"/>
  <c r="C105" i="32"/>
  <c r="C106" i="32"/>
  <c r="F106" i="32"/>
  <c r="J106" i="32"/>
  <c r="L106" i="32"/>
  <c r="B107" i="32"/>
  <c r="C107" i="32"/>
  <c r="D107" i="32"/>
  <c r="E107" i="32"/>
  <c r="G107" i="32"/>
  <c r="H107" i="32"/>
  <c r="J107" i="32"/>
  <c r="L107" i="32"/>
  <c r="B108" i="32"/>
  <c r="C108" i="32"/>
  <c r="E108" i="32"/>
  <c r="F108" i="32"/>
  <c r="G108" i="32"/>
  <c r="H108" i="32"/>
  <c r="K108" i="32"/>
  <c r="L108" i="32"/>
  <c r="E112" i="32"/>
  <c r="J112" i="32"/>
  <c r="L112" i="32"/>
  <c r="B113" i="32"/>
  <c r="C113" i="32"/>
  <c r="D113" i="32"/>
  <c r="E113" i="32"/>
  <c r="F113" i="32"/>
  <c r="J113" i="32"/>
  <c r="L113" i="32"/>
  <c r="C114" i="32"/>
  <c r="D114" i="32"/>
  <c r="E114" i="32"/>
  <c r="G114" i="32"/>
  <c r="J114" i="32"/>
  <c r="L114" i="32"/>
  <c r="D115" i="32"/>
  <c r="F115" i="32"/>
  <c r="H116" i="32"/>
  <c r="I117" i="32"/>
  <c r="C116" i="32"/>
  <c r="D116" i="32"/>
  <c r="E116" i="32"/>
  <c r="J116" i="32"/>
  <c r="B117" i="32"/>
  <c r="D117" i="32"/>
  <c r="F117" i="32"/>
  <c r="J117" i="32"/>
  <c r="K117" i="32"/>
  <c r="L117" i="32"/>
  <c r="F120" i="32"/>
  <c r="H131" i="32"/>
  <c r="D120" i="32"/>
  <c r="E120" i="32"/>
  <c r="J120" i="32"/>
  <c r="L120" i="32"/>
  <c r="F124" i="32"/>
  <c r="F129" i="32"/>
  <c r="G128" i="32"/>
  <c r="G129" i="32"/>
  <c r="I129" i="32"/>
  <c r="C124" i="32"/>
  <c r="E124" i="32"/>
  <c r="L124" i="32"/>
  <c r="B128" i="32"/>
  <c r="C128" i="32"/>
  <c r="D128" i="32"/>
  <c r="E128" i="32"/>
  <c r="F128" i="32"/>
  <c r="I128" i="32"/>
  <c r="J128" i="32"/>
  <c r="K128" i="32"/>
  <c r="L128" i="32"/>
  <c r="B129" i="32"/>
  <c r="C129" i="32"/>
  <c r="D129" i="32"/>
  <c r="E129" i="32"/>
  <c r="H129" i="32"/>
  <c r="J129" i="32"/>
  <c r="K129" i="32"/>
  <c r="L129" i="32"/>
  <c r="F135" i="32"/>
  <c r="F136" i="32"/>
  <c r="F137" i="32"/>
  <c r="G135" i="32"/>
  <c r="G137" i="32"/>
  <c r="H136" i="32"/>
  <c r="H137" i="32"/>
  <c r="I136" i="32"/>
  <c r="I137" i="32"/>
  <c r="D131" i="32"/>
  <c r="E131" i="32"/>
  <c r="I131" i="32"/>
  <c r="B135" i="32"/>
  <c r="C135" i="32"/>
  <c r="D135" i="32"/>
  <c r="E135" i="32"/>
  <c r="H135" i="32"/>
  <c r="J135" i="32"/>
  <c r="K135" i="32"/>
  <c r="L135" i="32"/>
  <c r="B136" i="32"/>
  <c r="C136" i="32"/>
  <c r="D136" i="32"/>
  <c r="E136" i="32"/>
  <c r="G136" i="32"/>
  <c r="J136" i="32"/>
  <c r="L136" i="32"/>
  <c r="B137" i="32"/>
  <c r="C137" i="32"/>
  <c r="D137" i="32"/>
  <c r="E137" i="32"/>
  <c r="J137" i="32"/>
  <c r="K137" i="32"/>
  <c r="L137" i="32"/>
  <c r="E144" i="29"/>
  <c r="K201" i="29"/>
  <c r="J203" i="29"/>
  <c r="I201" i="29"/>
  <c r="I202" i="29"/>
  <c r="G201" i="29"/>
  <c r="F201" i="29"/>
  <c r="E198" i="29"/>
  <c r="E201" i="29"/>
  <c r="E204" i="29"/>
  <c r="D201" i="29"/>
  <c r="C201" i="29"/>
  <c r="B201" i="29"/>
  <c r="A45" i="29"/>
  <c r="A48" i="29"/>
  <c r="A114" i="29"/>
  <c r="A112" i="29"/>
  <c r="A113" i="29"/>
  <c r="A50" i="29"/>
  <c r="A51" i="29"/>
  <c r="A52" i="29"/>
  <c r="A61" i="29"/>
  <c r="A62" i="29"/>
  <c r="A66" i="29"/>
  <c r="A69" i="29"/>
  <c r="A75" i="29"/>
  <c r="A89" i="29"/>
  <c r="A76" i="29"/>
  <c r="A80" i="29"/>
  <c r="A81" i="29"/>
  <c r="A87" i="29"/>
  <c r="A106" i="29"/>
  <c r="A119" i="29"/>
  <c r="A120" i="29"/>
  <c r="D503" i="30"/>
  <c r="D502" i="30"/>
  <c r="K144" i="29"/>
  <c r="I144" i="29"/>
  <c r="C144" i="29"/>
  <c r="A144" i="29"/>
  <c r="A216" i="29"/>
  <c r="A147" i="29"/>
  <c r="A15" i="29"/>
  <c r="A186" i="29"/>
  <c r="L29" i="19"/>
  <c r="L30" i="19"/>
  <c r="B178" i="29"/>
  <c r="C178" i="29"/>
  <c r="D178" i="29"/>
  <c r="E178" i="29"/>
  <c r="F178" i="29"/>
  <c r="G178" i="29"/>
  <c r="H178" i="29"/>
  <c r="I178" i="29"/>
  <c r="J178" i="29"/>
  <c r="K178" i="29"/>
  <c r="L178" i="29"/>
  <c r="D200" i="29"/>
  <c r="E200" i="29"/>
  <c r="F200" i="29"/>
  <c r="G200" i="29"/>
  <c r="H200" i="29"/>
  <c r="I200" i="29"/>
  <c r="J200" i="29"/>
  <c r="L200" i="29"/>
  <c r="A7" i="29"/>
  <c r="A178" i="29"/>
  <c r="A177" i="29"/>
  <c r="B177" i="29"/>
  <c r="C177" i="29"/>
  <c r="D177" i="29"/>
  <c r="E177" i="29"/>
  <c r="F177" i="29"/>
  <c r="G177" i="29"/>
  <c r="H177" i="29"/>
  <c r="I177" i="29"/>
  <c r="J177" i="29"/>
  <c r="K177" i="29"/>
  <c r="L177" i="29"/>
  <c r="A179" i="29"/>
  <c r="A180" i="29"/>
  <c r="C180" i="29"/>
  <c r="D180" i="29"/>
  <c r="E180" i="29"/>
  <c r="F180" i="29"/>
  <c r="G180" i="29"/>
  <c r="H180" i="29"/>
  <c r="J180" i="29"/>
  <c r="K180" i="29"/>
  <c r="L180" i="29"/>
  <c r="A181" i="29"/>
  <c r="A182" i="29"/>
  <c r="A183" i="29"/>
  <c r="A184" i="29"/>
  <c r="A185" i="29"/>
  <c r="A187" i="29"/>
  <c r="A188" i="29"/>
  <c r="A189" i="29"/>
  <c r="A190" i="29"/>
  <c r="A191" i="29"/>
  <c r="A192" i="29"/>
  <c r="A193" i="29"/>
  <c r="A194" i="29"/>
  <c r="A195" i="29"/>
  <c r="A196" i="29"/>
  <c r="A197" i="29"/>
  <c r="A198" i="29"/>
  <c r="B198" i="29"/>
  <c r="C198" i="29"/>
  <c r="D198" i="29"/>
  <c r="F198" i="29"/>
  <c r="G198" i="29"/>
  <c r="H198" i="29"/>
  <c r="I198" i="29"/>
  <c r="J198" i="29"/>
  <c r="A199" i="29"/>
  <c r="A200" i="29"/>
  <c r="A201" i="29"/>
  <c r="A202" i="29"/>
  <c r="A203" i="29"/>
  <c r="B203" i="29"/>
  <c r="D203" i="29"/>
  <c r="F203" i="29"/>
  <c r="G203" i="29"/>
  <c r="H203" i="29"/>
  <c r="K203" i="29"/>
  <c r="L203" i="29"/>
  <c r="A204" i="29"/>
  <c r="B204" i="29"/>
  <c r="D204" i="29"/>
  <c r="F204" i="29"/>
  <c r="H204" i="29"/>
  <c r="I204" i="29"/>
  <c r="J204" i="29"/>
  <c r="K204" i="29"/>
  <c r="L204" i="29"/>
  <c r="A205" i="29"/>
  <c r="A206" i="29"/>
  <c r="A207" i="29"/>
  <c r="A208" i="29"/>
  <c r="A209" i="29"/>
  <c r="A210" i="29"/>
  <c r="A211" i="29"/>
  <c r="D257" i="5"/>
  <c r="F257" i="5"/>
  <c r="D258" i="5"/>
  <c r="F258" i="5"/>
  <c r="D259" i="5"/>
  <c r="F259" i="5"/>
  <c r="D260" i="5"/>
  <c r="F260" i="5"/>
  <c r="D261" i="5"/>
  <c r="F261" i="5"/>
  <c r="D262" i="5"/>
  <c r="F262" i="5"/>
  <c r="D263" i="5"/>
  <c r="F263" i="5"/>
  <c r="D264" i="5"/>
  <c r="F264" i="5"/>
  <c r="D265" i="5"/>
  <c r="F265" i="5"/>
  <c r="D266" i="5"/>
  <c r="F266" i="5"/>
  <c r="D267" i="5"/>
  <c r="F267" i="5"/>
  <c r="D268" i="5"/>
  <c r="F268" i="5"/>
  <c r="D269" i="5"/>
  <c r="F269" i="5"/>
  <c r="D270" i="5"/>
  <c r="F270" i="5"/>
  <c r="D271" i="5"/>
  <c r="F271" i="5"/>
  <c r="D272" i="5"/>
  <c r="F272" i="5"/>
  <c r="D273" i="5"/>
  <c r="F273" i="5"/>
  <c r="D274" i="5"/>
  <c r="F274" i="5"/>
  <c r="D275" i="5"/>
  <c r="F275" i="5"/>
  <c r="D276" i="5"/>
  <c r="F276" i="5"/>
  <c r="D277" i="5"/>
  <c r="F277" i="5"/>
  <c r="D278" i="5"/>
  <c r="F278" i="5"/>
  <c r="D279" i="5"/>
  <c r="F279" i="5"/>
  <c r="D280" i="5"/>
  <c r="F280" i="5"/>
  <c r="D281" i="5"/>
  <c r="F281" i="5"/>
  <c r="D282" i="5"/>
  <c r="F282" i="5"/>
  <c r="D283" i="5"/>
  <c r="F283" i="5"/>
  <c r="D284" i="5"/>
  <c r="F284" i="5"/>
  <c r="D285" i="5"/>
  <c r="F285" i="5"/>
  <c r="D286" i="5"/>
  <c r="F286" i="5"/>
  <c r="D287" i="5"/>
  <c r="F287" i="5"/>
  <c r="D288" i="5"/>
  <c r="F288" i="5"/>
  <c r="D289" i="5"/>
  <c r="F289" i="5"/>
  <c r="D290" i="5"/>
  <c r="F290" i="5"/>
  <c r="D291" i="5"/>
  <c r="F291" i="5"/>
  <c r="D292" i="5"/>
  <c r="F292" i="5"/>
  <c r="H201" i="29"/>
  <c r="I203" i="29"/>
  <c r="E203" i="29"/>
  <c r="J201" i="29"/>
  <c r="B180" i="29"/>
  <c r="G197" i="29"/>
  <c r="C203" i="29"/>
  <c r="J197" i="29"/>
  <c r="B144" i="29"/>
  <c r="D144" i="29"/>
  <c r="F144" i="29"/>
  <c r="H144" i="29"/>
  <c r="J144" i="29"/>
  <c r="L144" i="29"/>
  <c r="D193" i="29"/>
  <c r="D208" i="29"/>
  <c r="F208" i="29"/>
  <c r="F193" i="29"/>
  <c r="C193" i="29"/>
  <c r="C208" i="29"/>
  <c r="F211" i="29"/>
  <c r="E190" i="29"/>
  <c r="B216" i="29"/>
  <c r="B190" i="29"/>
  <c r="E189" i="29"/>
  <c r="E194" i="29"/>
  <c r="J208" i="29"/>
  <c r="K208" i="29"/>
  <c r="L189" i="29"/>
  <c r="L194" i="29"/>
  <c r="B211" i="29"/>
  <c r="B194" i="29"/>
  <c r="B189" i="29"/>
  <c r="C190" i="29"/>
  <c r="D190" i="29"/>
  <c r="E211" i="29"/>
  <c r="E208" i="29"/>
  <c r="G208" i="29"/>
  <c r="G193" i="29"/>
  <c r="H189" i="29"/>
  <c r="H194" i="29"/>
  <c r="B208" i="29"/>
  <c r="B193" i="29"/>
  <c r="C211" i="29"/>
  <c r="C189" i="29"/>
  <c r="C194" i="29"/>
  <c r="D211" i="29"/>
  <c r="D189" i="29"/>
  <c r="D194" i="29"/>
  <c r="F189" i="29"/>
  <c r="I211" i="29"/>
  <c r="H193" i="29"/>
  <c r="H208" i="29"/>
  <c r="I193" i="29"/>
  <c r="I208" i="29"/>
  <c r="L211" i="29"/>
  <c r="G190" i="29"/>
  <c r="I199" i="29"/>
  <c r="K190" i="29"/>
  <c r="L202" i="29"/>
  <c r="L208" i="29"/>
  <c r="F190" i="29"/>
  <c r="G211" i="29"/>
  <c r="G194" i="29"/>
  <c r="G189" i="29"/>
  <c r="H211" i="29"/>
  <c r="H190" i="29"/>
  <c r="I190" i="29"/>
  <c r="J211" i="29"/>
  <c r="J202" i="29"/>
  <c r="J194" i="29"/>
  <c r="K211" i="29"/>
  <c r="K202" i="29"/>
  <c r="K194" i="29"/>
  <c r="K189" i="29"/>
  <c r="L190" i="29"/>
  <c r="L186" i="29"/>
  <c r="E186" i="29"/>
  <c r="G188" i="29"/>
  <c r="K188" i="29"/>
  <c r="C191" i="29"/>
  <c r="C192" i="29"/>
  <c r="B186" i="29"/>
  <c r="B191" i="29"/>
  <c r="B192" i="29"/>
  <c r="F187" i="29"/>
  <c r="F188" i="29"/>
  <c r="C188" i="29"/>
  <c r="H186" i="29"/>
  <c r="F192" i="29"/>
  <c r="L188" i="29"/>
  <c r="D188" i="29"/>
  <c r="H191" i="29"/>
  <c r="H192" i="29"/>
  <c r="K192" i="29"/>
  <c r="B188" i="29"/>
  <c r="I186" i="29"/>
  <c r="I192" i="29"/>
  <c r="F186" i="29"/>
  <c r="H187" i="29"/>
  <c r="H188" i="29"/>
  <c r="E188" i="29"/>
  <c r="J188" i="29"/>
  <c r="C186" i="29"/>
  <c r="B200" i="29"/>
  <c r="K127" i="32"/>
  <c r="I49" i="32"/>
  <c r="L49" i="32"/>
  <c r="K95" i="32"/>
  <c r="I197" i="29"/>
  <c r="I20" i="32"/>
  <c r="G49" i="32"/>
  <c r="I196" i="29"/>
  <c r="E134" i="32"/>
  <c r="C127" i="32"/>
  <c r="H74" i="32"/>
  <c r="G116" i="32"/>
  <c r="G131" i="32"/>
  <c r="G101" i="32"/>
  <c r="F101" i="32"/>
  <c r="F82" i="32"/>
  <c r="G144" i="29"/>
  <c r="I124" i="32"/>
  <c r="I120" i="32"/>
  <c r="I116" i="32"/>
  <c r="H106" i="32"/>
  <c r="H112" i="32"/>
  <c r="H66" i="32"/>
  <c r="H81" i="32"/>
  <c r="I66" i="32"/>
  <c r="F116" i="32"/>
  <c r="I106" i="32"/>
  <c r="F145" i="32"/>
  <c r="I39" i="32"/>
  <c r="G39" i="32"/>
  <c r="F43" i="32"/>
  <c r="E148" i="32"/>
  <c r="C146" i="32"/>
  <c r="E144" i="32"/>
  <c r="J140" i="32"/>
  <c r="G10" i="32"/>
  <c r="L141" i="32"/>
  <c r="H39" i="32"/>
  <c r="G60" i="32"/>
  <c r="G144" i="32"/>
  <c r="G50" i="32"/>
  <c r="K107" i="32"/>
  <c r="K88" i="32"/>
  <c r="K86" i="32"/>
  <c r="B185" i="29"/>
  <c r="E196" i="29"/>
  <c r="B86" i="32"/>
  <c r="D112" i="32"/>
  <c r="C19" i="32"/>
  <c r="C73" i="32"/>
  <c r="L105" i="32"/>
  <c r="L39" i="32"/>
  <c r="C120" i="32"/>
  <c r="C131" i="32"/>
  <c r="D20" i="32"/>
  <c r="D197" i="29"/>
  <c r="E20" i="32"/>
  <c r="E197" i="29"/>
  <c r="D196" i="29"/>
  <c r="C126" i="32"/>
  <c r="C20" i="32"/>
  <c r="C197" i="29"/>
  <c r="E133" i="32"/>
  <c r="L48" i="32"/>
  <c r="H20" i="32"/>
  <c r="H197" i="29"/>
  <c r="F20" i="32"/>
  <c r="F197" i="29"/>
  <c r="I14" i="32"/>
  <c r="I191" i="29"/>
  <c r="C80" i="32"/>
  <c r="J12" i="32"/>
  <c r="J189" i="29"/>
  <c r="D19" i="32"/>
  <c r="D15" i="32"/>
  <c r="D192" i="29"/>
  <c r="E15" i="32"/>
  <c r="E192" i="29"/>
  <c r="E202" i="29"/>
  <c r="E25" i="32"/>
  <c r="K16" i="32"/>
  <c r="K120" i="32"/>
  <c r="F17" i="32"/>
  <c r="F194" i="29"/>
  <c r="K10" i="32"/>
  <c r="K187" i="29"/>
  <c r="G187" i="29"/>
  <c r="H141" i="32"/>
  <c r="B141" i="32"/>
  <c r="D25" i="32"/>
  <c r="D202" i="29"/>
  <c r="D106" i="32"/>
  <c r="E87" i="32"/>
  <c r="B10" i="32"/>
  <c r="B187" i="29"/>
  <c r="K42" i="32"/>
  <c r="E73" i="32"/>
  <c r="H145" i="32"/>
  <c r="H146" i="32"/>
  <c r="I143" i="32"/>
  <c r="G19" i="32"/>
  <c r="G196" i="29"/>
  <c r="G44" i="32"/>
  <c r="D141" i="32"/>
  <c r="I73" i="32"/>
  <c r="G120" i="32"/>
  <c r="E106" i="32"/>
  <c r="D73" i="32"/>
  <c r="K124" i="32"/>
  <c r="D54" i="32"/>
  <c r="H44" i="32"/>
  <c r="I17" i="32"/>
  <c r="I194" i="29"/>
  <c r="I44" i="32"/>
  <c r="I43" i="32"/>
  <c r="F141" i="32"/>
  <c r="I65" i="32"/>
  <c r="J108" i="32"/>
  <c r="L131" i="32"/>
  <c r="J9" i="32"/>
  <c r="J186" i="29"/>
  <c r="E10" i="32"/>
  <c r="E187" i="29"/>
  <c r="B25" i="32"/>
  <c r="B202" i="29"/>
  <c r="K131" i="32"/>
  <c r="K44" i="32"/>
  <c r="K54" i="32"/>
  <c r="H185" i="29"/>
  <c r="H8" i="32"/>
  <c r="G141" i="32"/>
  <c r="G124" i="32"/>
  <c r="H19" i="32"/>
  <c r="H196" i="29"/>
  <c r="C125" i="32"/>
  <c r="F19" i="32"/>
  <c r="F196" i="29"/>
  <c r="E132" i="32"/>
  <c r="F139" i="32"/>
  <c r="E86" i="32"/>
  <c r="H139" i="32"/>
  <c r="J105" i="32"/>
  <c r="E105" i="32"/>
  <c r="E99" i="32"/>
  <c r="F14" i="32"/>
  <c r="F191" i="29"/>
  <c r="D14" i="32"/>
  <c r="D191" i="29"/>
  <c r="E130" i="32"/>
  <c r="J99" i="32"/>
  <c r="F185" i="29"/>
  <c r="K125" i="32"/>
  <c r="L127" i="32"/>
  <c r="F119" i="32"/>
  <c r="C48" i="32"/>
  <c r="C47" i="32"/>
  <c r="I126" i="32"/>
  <c r="I47" i="32"/>
  <c r="K126" i="32"/>
  <c r="C49" i="32"/>
  <c r="I127" i="32"/>
  <c r="I134" i="32"/>
  <c r="H127" i="32"/>
  <c r="F49" i="32"/>
  <c r="L197" i="29"/>
  <c r="B20" i="32"/>
  <c r="C123" i="32"/>
  <c r="L47" i="32"/>
  <c r="I48" i="32"/>
  <c r="C196" i="29"/>
  <c r="G127" i="32"/>
  <c r="H95" i="32"/>
  <c r="D20" i="5"/>
  <c r="A25" i="5"/>
  <c r="K182" i="29"/>
  <c r="H117" i="32"/>
  <c r="I18" i="32"/>
  <c r="I195" i="29"/>
  <c r="L65" i="32"/>
  <c r="L201" i="29"/>
  <c r="I22" i="32"/>
  <c r="H65" i="32"/>
  <c r="F199" i="29"/>
  <c r="F8" i="32"/>
  <c r="H33" i="32"/>
  <c r="H210" i="29"/>
  <c r="K105" i="32"/>
  <c r="K106" i="32"/>
  <c r="C119" i="32"/>
  <c r="G134" i="32"/>
  <c r="K197" i="29"/>
  <c r="H115" i="32"/>
  <c r="G117" i="32"/>
  <c r="F75" i="32"/>
  <c r="G66" i="32"/>
  <c r="K143" i="32"/>
  <c r="I3" i="32"/>
  <c r="I180" i="29"/>
  <c r="H22" i="32"/>
  <c r="H199" i="29"/>
  <c r="G204" i="29"/>
  <c r="G27" i="32"/>
  <c r="G9" i="32"/>
  <c r="F50" i="32"/>
  <c r="F25" i="32"/>
  <c r="F202" i="29"/>
  <c r="K21" i="32"/>
  <c r="K198" i="29"/>
  <c r="K114" i="32"/>
  <c r="B55" i="32"/>
  <c r="B106" i="32"/>
  <c r="B116" i="32"/>
  <c r="D10" i="32"/>
  <c r="D187" i="29"/>
  <c r="L55" i="32"/>
  <c r="J65" i="32"/>
  <c r="L116" i="32"/>
  <c r="L126" i="32"/>
  <c r="L21" i="32"/>
  <c r="L198" i="29"/>
  <c r="L187" i="29"/>
  <c r="L10" i="32"/>
  <c r="C27" i="32"/>
  <c r="C204" i="29"/>
  <c r="C23" i="32"/>
  <c r="C200" i="29"/>
  <c r="C10" i="32"/>
  <c r="C187" i="29"/>
  <c r="G33" i="32"/>
  <c r="B8" i="32"/>
  <c r="K20" i="32"/>
  <c r="E82" i="32"/>
  <c r="L145" i="32"/>
  <c r="F127" i="32"/>
  <c r="C134" i="32"/>
  <c r="H202" i="29"/>
  <c r="H128" i="32"/>
  <c r="I115" i="32"/>
  <c r="I112" i="32"/>
  <c r="I113" i="32"/>
  <c r="F105" i="32"/>
  <c r="H46" i="32"/>
  <c r="H43" i="32"/>
  <c r="G55" i="32"/>
  <c r="G43" i="32"/>
  <c r="F55" i="32"/>
  <c r="K193" i="29"/>
  <c r="I12" i="32"/>
  <c r="I189" i="29"/>
  <c r="J95" i="32"/>
  <c r="G199" i="29"/>
  <c r="H102" i="32"/>
  <c r="H96" i="32"/>
  <c r="H75" i="32"/>
  <c r="E142" i="32"/>
  <c r="L15" i="32"/>
  <c r="L192" i="29"/>
  <c r="J13" i="32"/>
  <c r="J190" i="29"/>
  <c r="E19" i="32"/>
  <c r="I125" i="32"/>
  <c r="G186" i="29"/>
  <c r="I135" i="32"/>
  <c r="F131" i="32"/>
  <c r="H82" i="32"/>
  <c r="G82" i="32"/>
  <c r="H120" i="32"/>
  <c r="F85" i="32"/>
  <c r="I86" i="32"/>
  <c r="H86" i="32"/>
  <c r="F86" i="32"/>
  <c r="D82" i="32"/>
  <c r="D83" i="32"/>
  <c r="D101" i="32"/>
  <c r="D102" i="32"/>
  <c r="B146" i="32"/>
  <c r="K116" i="32"/>
  <c r="B39" i="32"/>
  <c r="B74" i="32"/>
  <c r="G113" i="32"/>
  <c r="G112" i="32"/>
  <c r="F112" i="32"/>
  <c r="B112" i="32"/>
  <c r="H55" i="32"/>
  <c r="K145" i="32"/>
  <c r="K146" i="32"/>
  <c r="I145" i="32"/>
  <c r="K85" i="32"/>
  <c r="K144" i="32"/>
  <c r="H83" i="32"/>
  <c r="J43" i="32"/>
  <c r="E49" i="32"/>
  <c r="C95" i="32"/>
  <c r="E127" i="32"/>
  <c r="K134" i="32"/>
  <c r="J49" i="32"/>
  <c r="D134" i="32"/>
  <c r="B127" i="32"/>
  <c r="L134" i="32"/>
  <c r="B49" i="32"/>
  <c r="I95" i="32"/>
  <c r="F95" i="32"/>
  <c r="D49" i="32"/>
  <c r="B95" i="32"/>
  <c r="B134" i="32"/>
  <c r="H49" i="32"/>
  <c r="G95" i="32"/>
  <c r="D95" i="32"/>
  <c r="B19" i="32"/>
  <c r="B196" i="29"/>
  <c r="F134" i="32"/>
  <c r="E95" i="32"/>
  <c r="K93" i="32"/>
  <c r="K94" i="32"/>
  <c r="G210" i="29"/>
  <c r="K49" i="32"/>
  <c r="H134" i="32"/>
  <c r="J134" i="32"/>
  <c r="L95" i="32"/>
  <c r="D127" i="32"/>
  <c r="J19" i="32"/>
  <c r="J196" i="29"/>
  <c r="J127" i="32"/>
  <c r="K210" i="29"/>
  <c r="K33" i="32"/>
  <c r="K123" i="32"/>
  <c r="K5" i="32"/>
  <c r="I30" i="32"/>
  <c r="I207" i="29"/>
  <c r="H122" i="32"/>
  <c r="H121" i="32"/>
  <c r="G30" i="32"/>
  <c r="G207" i="29"/>
  <c r="G121" i="32"/>
  <c r="G122" i="32"/>
  <c r="D121" i="32"/>
  <c r="D122" i="32"/>
  <c r="B184" i="29"/>
  <c r="B7" i="32"/>
  <c r="J121" i="32"/>
  <c r="J122" i="32"/>
  <c r="D41" i="32"/>
  <c r="D40" i="32"/>
  <c r="G40" i="32"/>
  <c r="G41" i="32"/>
  <c r="C30" i="32"/>
  <c r="C207" i="29"/>
  <c r="F30" i="32"/>
  <c r="F207" i="29"/>
  <c r="E122" i="32"/>
  <c r="E121" i="32"/>
  <c r="K41" i="32"/>
  <c r="K40" i="32"/>
  <c r="C122" i="32"/>
  <c r="H40" i="32"/>
  <c r="H41" i="32"/>
  <c r="H184" i="29"/>
  <c r="H7" i="32"/>
  <c r="L7" i="32"/>
  <c r="L184" i="29"/>
  <c r="D30" i="32"/>
  <c r="D207" i="29"/>
  <c r="G7" i="32"/>
  <c r="G184" i="29"/>
  <c r="C184" i="29"/>
  <c r="C7" i="32"/>
  <c r="B207" i="29"/>
  <c r="B30" i="32"/>
  <c r="E207" i="29"/>
  <c r="E30" i="32"/>
  <c r="I184" i="29"/>
  <c r="I7" i="32"/>
  <c r="L41" i="32"/>
  <c r="L40" i="32"/>
  <c r="E41" i="32"/>
  <c r="E40" i="32"/>
  <c r="F7" i="32"/>
  <c r="F184" i="29"/>
  <c r="I41" i="32"/>
  <c r="I40" i="32"/>
  <c r="J207" i="29"/>
  <c r="J30" i="32"/>
  <c r="B40" i="32"/>
  <c r="B41" i="32"/>
  <c r="F40" i="32"/>
  <c r="F41" i="32"/>
  <c r="J184" i="29"/>
  <c r="J7" i="32"/>
  <c r="I121" i="32"/>
  <c r="I122" i="32"/>
  <c r="K30" i="32"/>
  <c r="K207" i="29"/>
  <c r="E184" i="29"/>
  <c r="E7" i="32"/>
  <c r="C41" i="32"/>
  <c r="C40" i="32"/>
  <c r="K7" i="32"/>
  <c r="K184" i="29"/>
  <c r="D7" i="32"/>
  <c r="D184" i="29"/>
  <c r="H207" i="29"/>
  <c r="H30" i="32"/>
  <c r="L207" i="29"/>
  <c r="L30" i="32"/>
  <c r="B122" i="32"/>
  <c r="B121" i="32"/>
  <c r="K121" i="32"/>
  <c r="K122" i="32"/>
  <c r="L121" i="32"/>
  <c r="L122" i="32"/>
  <c r="F122" i="32"/>
  <c r="J40" i="32"/>
  <c r="J41" i="32"/>
  <c r="E182" i="29"/>
  <c r="E5" i="32"/>
  <c r="F5" i="32"/>
  <c r="F182" i="29"/>
  <c r="J115" i="32"/>
  <c r="E115" i="32"/>
  <c r="C115" i="32"/>
  <c r="J22" i="32"/>
  <c r="J199" i="29"/>
  <c r="F18" i="32"/>
  <c r="F195" i="29"/>
  <c r="H195" i="29"/>
  <c r="H18" i="32"/>
  <c r="B65" i="32"/>
  <c r="E199" i="29"/>
  <c r="E22" i="32"/>
  <c r="E65" i="32"/>
  <c r="L22" i="32"/>
  <c r="L199" i="29"/>
  <c r="L14" i="32"/>
  <c r="L191" i="29"/>
  <c r="J124" i="32"/>
  <c r="E16" i="32"/>
  <c r="E193" i="29"/>
  <c r="D124" i="32"/>
  <c r="E43" i="32"/>
  <c r="E44" i="32"/>
  <c r="D81" i="32"/>
  <c r="D65" i="32"/>
  <c r="C141" i="32"/>
  <c r="K45" i="32"/>
  <c r="K43" i="32"/>
  <c r="K82" i="32"/>
  <c r="I102" i="32"/>
  <c r="I11" i="32"/>
  <c r="I188" i="29"/>
  <c r="H124" i="32"/>
  <c r="D119" i="32"/>
  <c r="H119" i="32"/>
  <c r="J119" i="32"/>
  <c r="I119" i="32"/>
  <c r="I182" i="29"/>
  <c r="I5" i="32"/>
  <c r="G5" i="32"/>
  <c r="G182" i="29"/>
  <c r="J187" i="29"/>
  <c r="J10" i="32"/>
  <c r="J94" i="32"/>
  <c r="K14" i="32"/>
  <c r="K191" i="29"/>
  <c r="F54" i="32"/>
  <c r="K140" i="32"/>
  <c r="K81" i="32"/>
  <c r="G192" i="29"/>
  <c r="G15" i="32"/>
  <c r="K141" i="32"/>
  <c r="F73" i="32"/>
  <c r="H209" i="29"/>
  <c r="H32" i="32"/>
  <c r="J73" i="32"/>
  <c r="D100" i="32"/>
  <c r="J15" i="32"/>
  <c r="J192" i="29"/>
  <c r="J131" i="32"/>
  <c r="L16" i="32"/>
  <c r="L193" i="29"/>
  <c r="D105" i="32"/>
  <c r="D108" i="32"/>
  <c r="D43" i="32"/>
  <c r="D45" i="32"/>
  <c r="D9" i="32"/>
  <c r="D186" i="29"/>
  <c r="B63" i="32"/>
  <c r="K66" i="32"/>
  <c r="K112" i="32"/>
  <c r="K113" i="32"/>
  <c r="B43" i="32"/>
  <c r="B44" i="32"/>
  <c r="B145" i="32"/>
  <c r="I69" i="32"/>
  <c r="F65" i="32"/>
  <c r="B119" i="32"/>
  <c r="D210" i="29"/>
  <c r="D33" i="32"/>
  <c r="K119" i="32"/>
  <c r="L119" i="32"/>
  <c r="C182" i="29"/>
  <c r="C5" i="32"/>
  <c r="D5" i="32"/>
  <c r="D182" i="29"/>
  <c r="E141" i="32"/>
  <c r="H94" i="32"/>
  <c r="H126" i="32"/>
  <c r="H125" i="32"/>
  <c r="C133" i="32"/>
  <c r="L139" i="32"/>
  <c r="E80" i="32"/>
  <c r="G195" i="29"/>
  <c r="G18" i="32"/>
  <c r="L196" i="29"/>
  <c r="L19" i="32"/>
  <c r="L125" i="32"/>
  <c r="B105" i="32"/>
  <c r="K9" i="32"/>
  <c r="K186" i="29"/>
  <c r="G87" i="32"/>
  <c r="G133" i="32"/>
  <c r="C43" i="32"/>
  <c r="C44" i="32"/>
  <c r="J193" i="29"/>
  <c r="J16" i="32"/>
  <c r="L101" i="32"/>
  <c r="D148" i="32"/>
  <c r="B22" i="32"/>
  <c r="B199" i="29"/>
  <c r="D22" i="32"/>
  <c r="D199" i="29"/>
  <c r="J141" i="32"/>
  <c r="B124" i="32"/>
  <c r="K23" i="32"/>
  <c r="K200" i="29"/>
  <c r="K63" i="32"/>
  <c r="I142" i="32"/>
  <c r="G73" i="32"/>
  <c r="F210" i="29"/>
  <c r="F33" i="32"/>
  <c r="E119" i="32"/>
  <c r="E33" i="32"/>
  <c r="E210" i="29"/>
  <c r="B210" i="29"/>
  <c r="B33" i="32"/>
  <c r="L210" i="29"/>
  <c r="L33" i="32"/>
  <c r="H182" i="29"/>
  <c r="H5" i="32"/>
  <c r="J5" i="32"/>
  <c r="J182" i="29"/>
  <c r="E18" i="32"/>
  <c r="E195" i="29"/>
  <c r="G126" i="32"/>
  <c r="G54" i="32"/>
  <c r="C8" i="32"/>
  <c r="C185" i="29"/>
  <c r="C202" i="29"/>
  <c r="C25" i="32"/>
  <c r="F48" i="32"/>
  <c r="F47" i="32"/>
  <c r="G106" i="32"/>
  <c r="G115" i="32"/>
  <c r="K19" i="32"/>
  <c r="K196" i="29"/>
  <c r="G48" i="32"/>
  <c r="G47" i="32"/>
  <c r="B82" i="32"/>
  <c r="B131" i="32"/>
  <c r="K73" i="32"/>
  <c r="B73" i="32"/>
  <c r="K115" i="32"/>
  <c r="I83" i="32"/>
  <c r="I60" i="32"/>
  <c r="H80" i="32"/>
  <c r="I133" i="32"/>
  <c r="G119" i="32"/>
  <c r="C210" i="29"/>
  <c r="C33" i="32"/>
  <c r="J33" i="32"/>
  <c r="J210" i="29"/>
  <c r="I33" i="32"/>
  <c r="I210" i="29"/>
  <c r="L5" i="32"/>
  <c r="L182" i="29"/>
  <c r="B5" i="32"/>
  <c r="B182" i="29"/>
  <c r="I123" i="32"/>
  <c r="H73" i="32"/>
  <c r="H101" i="32"/>
  <c r="F99" i="32"/>
  <c r="F126" i="32"/>
  <c r="C22" i="32"/>
  <c r="C199" i="29"/>
  <c r="L115" i="32"/>
  <c r="L54" i="32"/>
  <c r="B115" i="32"/>
  <c r="B54" i="32"/>
  <c r="K100" i="32"/>
  <c r="G146" i="32"/>
  <c r="G25" i="32"/>
  <c r="G202" i="29"/>
  <c r="G65" i="32"/>
  <c r="K32" i="32"/>
  <c r="K209" i="29"/>
  <c r="L93" i="32"/>
  <c r="L94" i="32"/>
  <c r="G209" i="29"/>
  <c r="G32" i="32"/>
  <c r="E94" i="32"/>
  <c r="E93" i="32"/>
  <c r="B133" i="32"/>
  <c r="I93" i="32"/>
  <c r="I94" i="32"/>
  <c r="L133" i="32"/>
  <c r="K133" i="32"/>
  <c r="H133" i="32"/>
  <c r="G93" i="32"/>
  <c r="G94" i="32"/>
  <c r="D47" i="32"/>
  <c r="D48" i="32"/>
  <c r="D133" i="32"/>
  <c r="C93" i="32"/>
  <c r="C94" i="32"/>
  <c r="H47" i="32"/>
  <c r="H48" i="32"/>
  <c r="B94" i="32"/>
  <c r="B93" i="32"/>
  <c r="F93" i="32"/>
  <c r="F94" i="32"/>
  <c r="B47" i="32"/>
  <c r="B48" i="32"/>
  <c r="B126" i="32"/>
  <c r="J126" i="32"/>
  <c r="D126" i="32"/>
  <c r="J133" i="32"/>
  <c r="K47" i="32"/>
  <c r="K48" i="32"/>
  <c r="F133" i="32"/>
  <c r="D93" i="32"/>
  <c r="D94" i="32"/>
  <c r="J48" i="32"/>
  <c r="J47" i="32"/>
  <c r="E126" i="32"/>
  <c r="E47" i="32"/>
  <c r="E48" i="32"/>
  <c r="K118" i="32"/>
  <c r="E206" i="29"/>
  <c r="E29" i="32"/>
  <c r="L29" i="32"/>
  <c r="L206" i="29"/>
  <c r="H29" i="32"/>
  <c r="H206" i="29"/>
  <c r="K183" i="29"/>
  <c r="K6" i="32"/>
  <c r="K29" i="32"/>
  <c r="K206" i="29"/>
  <c r="J206" i="29"/>
  <c r="J29" i="32"/>
  <c r="D29" i="32"/>
  <c r="D206" i="29"/>
  <c r="L6" i="32"/>
  <c r="L183" i="29"/>
  <c r="F206" i="29"/>
  <c r="F29" i="32"/>
  <c r="F121" i="32"/>
  <c r="B29" i="32"/>
  <c r="B206" i="29"/>
  <c r="J118" i="32"/>
  <c r="D6" i="32"/>
  <c r="D183" i="29"/>
  <c r="F6" i="32"/>
  <c r="F183" i="29"/>
  <c r="C206" i="29"/>
  <c r="C29" i="32"/>
  <c r="B6" i="32"/>
  <c r="B183" i="29"/>
  <c r="G29" i="32"/>
  <c r="G206" i="29"/>
  <c r="E6" i="32"/>
  <c r="E183" i="29"/>
  <c r="I118" i="32"/>
  <c r="J6" i="32"/>
  <c r="J183" i="29"/>
  <c r="I183" i="29"/>
  <c r="I6" i="32"/>
  <c r="C6" i="32"/>
  <c r="C183" i="29"/>
  <c r="G183" i="29"/>
  <c r="G6" i="32"/>
  <c r="H183" i="29"/>
  <c r="H6" i="32"/>
  <c r="C121" i="32"/>
  <c r="I29" i="32"/>
  <c r="I206" i="29"/>
  <c r="J18" i="32"/>
  <c r="J195" i="29"/>
  <c r="C18" i="32"/>
  <c r="C195" i="29"/>
  <c r="K99" i="32"/>
  <c r="B4" i="32"/>
  <c r="B181" i="29"/>
  <c r="I82" i="32"/>
  <c r="F80" i="32"/>
  <c r="D18" i="32"/>
  <c r="D195" i="29"/>
  <c r="K185" i="29"/>
  <c r="K8" i="32"/>
  <c r="L123" i="32"/>
  <c r="C132" i="32"/>
  <c r="D181" i="29"/>
  <c r="D4" i="32"/>
  <c r="K65" i="32"/>
  <c r="K80" i="32"/>
  <c r="C139" i="32"/>
  <c r="D80" i="32"/>
  <c r="G145" i="32"/>
  <c r="F125" i="32"/>
  <c r="I32" i="32"/>
  <c r="I209" i="29"/>
  <c r="E209" i="29"/>
  <c r="E32" i="32"/>
  <c r="C32" i="32"/>
  <c r="C209" i="29"/>
  <c r="B80" i="32"/>
  <c r="F209" i="29"/>
  <c r="F32" i="32"/>
  <c r="I141" i="32"/>
  <c r="K22" i="32"/>
  <c r="K199" i="29"/>
  <c r="L99" i="32"/>
  <c r="G86" i="32"/>
  <c r="H93" i="32"/>
  <c r="B118" i="32"/>
  <c r="B139" i="32"/>
  <c r="J191" i="29"/>
  <c r="J14" i="32"/>
  <c r="H99" i="32"/>
  <c r="I132" i="32"/>
  <c r="L32" i="32"/>
  <c r="L209" i="29"/>
  <c r="B32" i="32"/>
  <c r="B209" i="29"/>
  <c r="E118" i="32"/>
  <c r="D145" i="32"/>
  <c r="H28" i="32"/>
  <c r="H205" i="29"/>
  <c r="L195" i="29"/>
  <c r="L18" i="32"/>
  <c r="E139" i="32"/>
  <c r="L118" i="32"/>
  <c r="D209" i="29"/>
  <c r="D32" i="32"/>
  <c r="D99" i="32"/>
  <c r="H118" i="32"/>
  <c r="I101" i="32"/>
  <c r="L185" i="29"/>
  <c r="L8" i="32"/>
  <c r="J32" i="32"/>
  <c r="J209" i="29"/>
  <c r="K18" i="32"/>
  <c r="K195" i="29"/>
  <c r="L181" i="29"/>
  <c r="L4" i="32"/>
  <c r="G118" i="32"/>
  <c r="G105" i="32"/>
  <c r="G125" i="32"/>
  <c r="H4" i="32"/>
  <c r="H181" i="29"/>
  <c r="J139" i="32"/>
  <c r="B195" i="29"/>
  <c r="B18" i="32"/>
  <c r="G132" i="32"/>
  <c r="B99" i="32"/>
  <c r="C4" i="32"/>
  <c r="C181" i="29"/>
  <c r="D185" i="29"/>
  <c r="D8" i="32"/>
  <c r="G14" i="32"/>
  <c r="G191" i="29"/>
  <c r="J93" i="32"/>
  <c r="D118" i="32"/>
  <c r="I187" i="29"/>
  <c r="I10" i="32"/>
  <c r="E14" i="32"/>
  <c r="E191" i="29"/>
  <c r="E125" i="32"/>
  <c r="J132" i="32"/>
  <c r="K132" i="32"/>
  <c r="D125" i="32"/>
  <c r="B125" i="32"/>
  <c r="H132" i="32"/>
  <c r="F132" i="32"/>
  <c r="J125" i="32"/>
  <c r="D132" i="32"/>
  <c r="L132" i="32"/>
  <c r="B132" i="32"/>
  <c r="G205" i="29"/>
  <c r="G28" i="32"/>
  <c r="F118" i="32"/>
  <c r="C118" i="32"/>
  <c r="F4" i="32"/>
  <c r="F181" i="29"/>
  <c r="K205" i="29"/>
  <c r="K28" i="32"/>
  <c r="B179" i="29"/>
  <c r="B2" i="32"/>
  <c r="D2" i="32"/>
  <c r="D149" i="32"/>
  <c r="D179" i="29"/>
  <c r="H2" i="32"/>
  <c r="H179" i="29"/>
  <c r="J28" i="32"/>
  <c r="J205" i="29"/>
  <c r="F28" i="32"/>
  <c r="F205" i="29"/>
  <c r="G139" i="32"/>
  <c r="I80" i="32"/>
  <c r="I185" i="29"/>
  <c r="I8" i="32"/>
  <c r="G8" i="32"/>
  <c r="G185" i="29"/>
  <c r="G130" i="32"/>
  <c r="I99" i="32"/>
  <c r="K139" i="32"/>
  <c r="I130" i="32"/>
  <c r="I139" i="32"/>
  <c r="C205" i="29"/>
  <c r="C28" i="32"/>
  <c r="E8" i="32"/>
  <c r="E185" i="29"/>
  <c r="G123" i="32"/>
  <c r="D28" i="32"/>
  <c r="D205" i="29"/>
  <c r="L205" i="29"/>
  <c r="L28" i="32"/>
  <c r="J185" i="29"/>
  <c r="J8" i="32"/>
  <c r="E205" i="29"/>
  <c r="E28" i="32"/>
  <c r="F123" i="32"/>
  <c r="K181" i="29"/>
  <c r="K4" i="32"/>
  <c r="C179" i="29"/>
  <c r="C2" i="32"/>
  <c r="G99" i="32"/>
  <c r="D139" i="32"/>
  <c r="B205" i="29"/>
  <c r="B28" i="32"/>
  <c r="H123" i="32"/>
  <c r="G80" i="32"/>
  <c r="I28" i="32"/>
  <c r="I205" i="29"/>
  <c r="C130" i="32"/>
  <c r="B130" i="32"/>
  <c r="F130" i="32"/>
  <c r="H130" i="32"/>
  <c r="D130" i="32"/>
  <c r="B123" i="32"/>
  <c r="E123" i="32"/>
  <c r="J123" i="32"/>
  <c r="K130" i="32"/>
  <c r="L130" i="32"/>
  <c r="D123" i="32"/>
  <c r="J130" i="32"/>
  <c r="C38" i="32"/>
  <c r="C77" i="32"/>
  <c r="C61" i="32"/>
  <c r="C59" i="32"/>
  <c r="K2" i="32"/>
  <c r="K179" i="29"/>
  <c r="J4" i="32"/>
  <c r="J181" i="29"/>
  <c r="H59" i="32"/>
  <c r="H61" i="32"/>
  <c r="H57" i="32"/>
  <c r="D77" i="32"/>
  <c r="D111" i="32"/>
  <c r="D110" i="32"/>
  <c r="B111" i="32"/>
  <c r="B110" i="32"/>
  <c r="L2" i="32"/>
  <c r="L179" i="29"/>
  <c r="C62" i="32"/>
  <c r="C64" i="32"/>
  <c r="C149" i="32"/>
  <c r="C110" i="32"/>
  <c r="C111" i="32"/>
  <c r="I181" i="29"/>
  <c r="I4" i="32"/>
  <c r="H64" i="32"/>
  <c r="H62" i="32"/>
  <c r="H109" i="32"/>
  <c r="H90" i="32"/>
  <c r="D57" i="32"/>
  <c r="D38" i="32"/>
  <c r="D90" i="32"/>
  <c r="B38" i="32"/>
  <c r="B90" i="32"/>
  <c r="B149" i="32"/>
  <c r="C109" i="32"/>
  <c r="D138" i="32"/>
  <c r="C57" i="32"/>
  <c r="C71" i="32"/>
  <c r="C90" i="32"/>
  <c r="E181" i="29"/>
  <c r="E4" i="32"/>
  <c r="G181" i="29"/>
  <c r="G4" i="32"/>
  <c r="H110" i="32"/>
  <c r="H111" i="32"/>
  <c r="H77" i="32"/>
  <c r="H149" i="32"/>
  <c r="D62" i="32"/>
  <c r="D64" i="32"/>
  <c r="D59" i="32"/>
  <c r="D61" i="32"/>
  <c r="D109" i="32"/>
  <c r="B57" i="32"/>
  <c r="B64" i="32"/>
  <c r="B62" i="32"/>
  <c r="B109" i="32"/>
  <c r="F179" i="29"/>
  <c r="F2" i="32"/>
  <c r="H71" i="32"/>
  <c r="H38" i="32"/>
  <c r="D71" i="32"/>
  <c r="B61" i="32"/>
  <c r="B59" i="32"/>
  <c r="B71" i="32"/>
  <c r="B77" i="32"/>
  <c r="E2" i="32"/>
  <c r="E179" i="29"/>
  <c r="B37" i="32"/>
  <c r="B76" i="32"/>
  <c r="F111" i="32"/>
  <c r="F110" i="32"/>
  <c r="H76" i="32"/>
  <c r="H37" i="32"/>
  <c r="F61" i="32"/>
  <c r="F59" i="32"/>
  <c r="F109" i="32"/>
  <c r="B98" i="32"/>
  <c r="B53" i="32"/>
  <c r="B52" i="32"/>
  <c r="C53" i="32"/>
  <c r="C52" i="32"/>
  <c r="C98" i="32"/>
  <c r="D52" i="32"/>
  <c r="D53" i="32"/>
  <c r="L111" i="32"/>
  <c r="L110" i="32"/>
  <c r="L62" i="32"/>
  <c r="L64" i="32"/>
  <c r="L59" i="32"/>
  <c r="L61" i="32"/>
  <c r="D76" i="32"/>
  <c r="K64" i="32"/>
  <c r="K62" i="32"/>
  <c r="K38" i="32"/>
  <c r="K61" i="32"/>
  <c r="K59" i="32"/>
  <c r="B68" i="32"/>
  <c r="D68" i="32"/>
  <c r="F77" i="32"/>
  <c r="F57" i="32"/>
  <c r="H138" i="32"/>
  <c r="C79" i="32"/>
  <c r="B138" i="32"/>
  <c r="H79" i="32"/>
  <c r="L109" i="32"/>
  <c r="L71" i="32"/>
  <c r="K77" i="32"/>
  <c r="K90" i="32"/>
  <c r="C76" i="32"/>
  <c r="H68" i="32"/>
  <c r="F62" i="32"/>
  <c r="F64" i="32"/>
  <c r="F90" i="32"/>
  <c r="C68" i="32"/>
  <c r="D37" i="32"/>
  <c r="C138" i="32"/>
  <c r="L90" i="32"/>
  <c r="L149" i="32"/>
  <c r="L38" i="32"/>
  <c r="H52" i="32"/>
  <c r="H53" i="32"/>
  <c r="J179" i="29"/>
  <c r="J2" i="32"/>
  <c r="K110" i="32"/>
  <c r="K111" i="32"/>
  <c r="K149" i="32"/>
  <c r="K109" i="32"/>
  <c r="C37" i="32"/>
  <c r="F38" i="32"/>
  <c r="D98" i="32"/>
  <c r="F71" i="32"/>
  <c r="F149" i="32"/>
  <c r="G179" i="29"/>
  <c r="G2" i="32"/>
  <c r="B79" i="32"/>
  <c r="D79" i="32"/>
  <c r="H98" i="32"/>
  <c r="I179" i="29"/>
  <c r="I2" i="32"/>
  <c r="L77" i="32"/>
  <c r="L57" i="32"/>
  <c r="K71" i="32"/>
  <c r="K57" i="32"/>
  <c r="G38" i="32"/>
  <c r="K52" i="32"/>
  <c r="K53" i="32"/>
  <c r="I149" i="32"/>
  <c r="I109" i="32"/>
  <c r="D78" i="32"/>
  <c r="G71" i="32"/>
  <c r="G59" i="32"/>
  <c r="G61" i="32"/>
  <c r="F37" i="32"/>
  <c r="J149" i="32"/>
  <c r="J61" i="32"/>
  <c r="J59" i="32"/>
  <c r="J57" i="32"/>
  <c r="F79" i="32"/>
  <c r="K79" i="32"/>
  <c r="K76" i="32"/>
  <c r="F76" i="32"/>
  <c r="K37" i="32"/>
  <c r="D72" i="32"/>
  <c r="C92" i="32"/>
  <c r="F98" i="32"/>
  <c r="E149" i="32"/>
  <c r="E61" i="32"/>
  <c r="E59" i="32"/>
  <c r="E38" i="32"/>
  <c r="L76" i="32"/>
  <c r="I38" i="32"/>
  <c r="I77" i="32"/>
  <c r="G90" i="32"/>
  <c r="G62" i="32"/>
  <c r="G64" i="32"/>
  <c r="C36" i="32"/>
  <c r="K138" i="32"/>
  <c r="J90" i="32"/>
  <c r="J111" i="32"/>
  <c r="J110" i="32"/>
  <c r="J109" i="32"/>
  <c r="J77" i="32"/>
  <c r="L37" i="32"/>
  <c r="L79" i="32"/>
  <c r="D36" i="32"/>
  <c r="L68" i="32"/>
  <c r="F53" i="32"/>
  <c r="F52" i="32"/>
  <c r="H36" i="32"/>
  <c r="B36" i="32"/>
  <c r="E109" i="32"/>
  <c r="E57" i="32"/>
  <c r="F138" i="32"/>
  <c r="I71" i="32"/>
  <c r="I57" i="32"/>
  <c r="D92" i="32"/>
  <c r="J64" i="32"/>
  <c r="J62" i="32"/>
  <c r="L138" i="32"/>
  <c r="H78" i="32"/>
  <c r="C78" i="32"/>
  <c r="B92" i="32"/>
  <c r="H72" i="32"/>
  <c r="B72" i="32"/>
  <c r="E90" i="32"/>
  <c r="E110" i="32"/>
  <c r="E111" i="32"/>
  <c r="I64" i="32"/>
  <c r="I62" i="32"/>
  <c r="K68" i="32"/>
  <c r="H92" i="32"/>
  <c r="G109" i="32"/>
  <c r="G149" i="32"/>
  <c r="G77" i="32"/>
  <c r="L52" i="32"/>
  <c r="L53" i="32"/>
  <c r="I111" i="32"/>
  <c r="I110" i="32"/>
  <c r="I61" i="32"/>
  <c r="I59" i="32"/>
  <c r="I90" i="32"/>
  <c r="B78" i="32"/>
  <c r="G111" i="32"/>
  <c r="G110" i="32"/>
  <c r="G57" i="32"/>
  <c r="F68" i="32"/>
  <c r="K98" i="32"/>
  <c r="J38" i="32"/>
  <c r="J71" i="32"/>
  <c r="C72" i="32"/>
  <c r="L98" i="32"/>
  <c r="E71" i="32"/>
  <c r="E77" i="32"/>
  <c r="E62" i="32"/>
  <c r="E64" i="32"/>
  <c r="K92" i="32"/>
  <c r="J68" i="32"/>
  <c r="E53" i="32"/>
  <c r="E52" i="32"/>
  <c r="D35" i="32"/>
  <c r="L36" i="32"/>
  <c r="J79" i="32"/>
  <c r="C35" i="32"/>
  <c r="L92" i="32"/>
  <c r="I79" i="32"/>
  <c r="G98" i="32"/>
  <c r="I53" i="32"/>
  <c r="I52" i="32"/>
  <c r="I76" i="32"/>
  <c r="F92" i="32"/>
  <c r="K36" i="32"/>
  <c r="K72" i="32"/>
  <c r="F78" i="32"/>
  <c r="I138" i="32"/>
  <c r="E68" i="32"/>
  <c r="J37" i="32"/>
  <c r="G76" i="32"/>
  <c r="E79" i="32"/>
  <c r="E98" i="32"/>
  <c r="H35" i="32"/>
  <c r="L78" i="32"/>
  <c r="J76" i="32"/>
  <c r="L72" i="32"/>
  <c r="F72" i="32"/>
  <c r="F36" i="32"/>
  <c r="G68" i="32"/>
  <c r="G37" i="32"/>
  <c r="E76" i="32"/>
  <c r="G53" i="32"/>
  <c r="G52" i="32"/>
  <c r="G138" i="32"/>
  <c r="I68" i="32"/>
  <c r="B35" i="32"/>
  <c r="J98" i="32"/>
  <c r="G79" i="32"/>
  <c r="I37" i="32"/>
  <c r="E37" i="32"/>
  <c r="E138" i="32"/>
  <c r="K78" i="32"/>
  <c r="J52" i="32"/>
  <c r="J53" i="32"/>
  <c r="J138" i="32"/>
  <c r="I98" i="32"/>
  <c r="E36" i="32"/>
  <c r="E72" i="32"/>
  <c r="G92" i="32"/>
  <c r="L35" i="32"/>
  <c r="I92" i="32"/>
  <c r="F35" i="32"/>
  <c r="G78" i="32"/>
  <c r="J72" i="32"/>
  <c r="G72" i="32"/>
  <c r="I78" i="32"/>
  <c r="J92" i="32"/>
  <c r="G36" i="32"/>
  <c r="K35" i="32"/>
  <c r="I72" i="32"/>
  <c r="J78" i="32"/>
  <c r="I36" i="32"/>
  <c r="E92" i="32"/>
  <c r="E78" i="32"/>
  <c r="J36" i="32"/>
  <c r="J35" i="32"/>
  <c r="E35" i="32"/>
  <c r="G35" i="32"/>
  <c r="I35" i="32"/>
  <c r="Q10" i="19"/>
  <c r="B14" i="41"/>
  <c r="C14" i="41"/>
  <c r="D14" i="41"/>
  <c r="E14" i="41"/>
  <c r="F14" i="41"/>
  <c r="G14" i="41"/>
  <c r="H14" i="41"/>
  <c r="I14" i="41"/>
  <c r="J14" i="41"/>
  <c r="K14" i="41"/>
  <c r="L14" i="41"/>
  <c r="X14" i="41"/>
  <c r="Y14" i="41"/>
  <c r="Z14" i="41"/>
  <c r="M14" i="41"/>
  <c r="N14" i="41"/>
  <c r="AA5" i="41"/>
  <c r="AA6" i="41"/>
  <c r="AA7" i="41"/>
  <c r="AA8" i="41"/>
  <c r="AA9" i="41"/>
  <c r="AA10" i="41"/>
  <c r="AA11" i="41"/>
  <c r="AA12" i="41"/>
  <c r="AA13" i="41"/>
  <c r="AA17" i="41"/>
  <c r="AA19" i="41"/>
  <c r="AA21" i="41" a="1"/>
  <c r="AA21" i="41"/>
  <c r="V14" i="41"/>
  <c r="AA4" i="41"/>
  <c r="AA14" i="41"/>
  <c r="AA15" i="41"/>
</calcChain>
</file>

<file path=xl/sharedStrings.xml><?xml version="1.0" encoding="utf-8"?>
<sst xmlns="http://schemas.openxmlformats.org/spreadsheetml/2006/main" count="3794" uniqueCount="937">
  <si>
    <t>Fenugrec</t>
  </si>
  <si>
    <t>Gesse</t>
  </si>
  <si>
    <t>Phacelie</t>
  </si>
  <si>
    <t>Sarrasin</t>
  </si>
  <si>
    <t>. . . . Hauteur PS</t>
  </si>
  <si>
    <t>. . . Risque limace parcelle</t>
  </si>
  <si>
    <t>Date de semis</t>
  </si>
  <si>
    <t>Faible</t>
  </si>
  <si>
    <t>Moyen</t>
  </si>
  <si>
    <t>Fort</t>
  </si>
  <si>
    <t>Tardive</t>
  </si>
  <si>
    <t>Intermédiaire</t>
  </si>
  <si>
    <t>Precoce</t>
  </si>
  <si>
    <t>Tres precoce</t>
  </si>
  <si>
    <t>. . . Appetence limace PS</t>
  </si>
  <si>
    <t>Sol facteur limitant</t>
  </si>
  <si>
    <t>Mode de destruction</t>
  </si>
  <si>
    <t>Biomasse PS</t>
  </si>
  <si>
    <t>oui</t>
  </si>
  <si>
    <t>non</t>
  </si>
  <si>
    <t xml:space="preserve">Graminees </t>
  </si>
  <si>
    <t>Mixte</t>
  </si>
  <si>
    <t>Dicots</t>
  </si>
  <si>
    <t>Attente de gel</t>
  </si>
  <si>
    <t>Chimique, precoce</t>
  </si>
  <si>
    <t>Biomasse</t>
  </si>
  <si>
    <t>PS fixatrice N</t>
  </si>
  <si>
    <t>Oui</t>
  </si>
  <si>
    <t>Non</t>
  </si>
  <si>
    <t>Hauteur PS</t>
  </si>
  <si>
    <t>Nitrophilie PS</t>
  </si>
  <si>
    <t>Vitesse croissance PS</t>
  </si>
  <si>
    <t>Interet fourrager</t>
  </si>
  <si>
    <t>Tenue de tige</t>
  </si>
  <si>
    <t>Teneur N PS</t>
  </si>
  <si>
    <t>Fraction soluble PS</t>
  </si>
  <si>
    <t>Biomasse PS morte en contact au sol</t>
  </si>
  <si>
    <t>Capacite PS germination orobanche rameuse</t>
  </si>
  <si>
    <t>Longueur cycle PS</t>
  </si>
  <si>
    <t>Court</t>
  </si>
  <si>
    <t>Long</t>
  </si>
  <si>
    <t>Vesce commune de printemps</t>
  </si>
  <si>
    <t>Vesce pourpre Type BINGO</t>
  </si>
  <si>
    <t>Trefle Alexandrie Type TABOR</t>
  </si>
  <si>
    <t xml:space="preserve">Adventices généralement nombreuses dans le colza et mal maîtrisées. </t>
  </si>
  <si>
    <t>Adventices généralement présentes dans le colza mais bien maîtrisées.</t>
  </si>
  <si>
    <t>Adventices généralement peu présentes dans le colza.</t>
  </si>
  <si>
    <t>Semis après la période conseillée.</t>
  </si>
  <si>
    <t>Semis pendant la période conseillée.</t>
  </si>
  <si>
    <t>Département à fort risque de stress hydrique</t>
  </si>
  <si>
    <t>Département à risque moyen de stress hydrique</t>
  </si>
  <si>
    <t>Département à faible risque de stress hydrique</t>
  </si>
  <si>
    <t>Note de ciblage &gt; 23 points</t>
  </si>
  <si>
    <t>Note de ciblage entre 18 et 23 points</t>
  </si>
  <si>
    <t>Note de ciblage &lt; 18 points</t>
  </si>
  <si>
    <t>Au moins un des facteurs cités.</t>
  </si>
  <si>
    <t>Aucun des facteurs cités.</t>
  </si>
  <si>
    <t>Graminees</t>
  </si>
  <si>
    <t>Flore adventice à dominante d'espèces monocotylédones (graminées).</t>
  </si>
  <si>
    <t>Flore adventice présente plûtot équilibrée.</t>
  </si>
  <si>
    <t>Flore adventice à dominante d'espèces dicotylédones.</t>
  </si>
  <si>
    <t>Parcelle dans une zone à risque. Orobanche déjà observée dans le secteur et les parcelles voisines.</t>
  </si>
  <si>
    <t xml:space="preserve">Parcelle non à risque. </t>
  </si>
  <si>
    <t>Gel peu fréquent et peu fort (-5°C).</t>
  </si>
  <si>
    <t xml:space="preserve">Gel modéremment fréquent et moyennement fort. </t>
  </si>
  <si>
    <t>Attente du gel</t>
  </si>
  <si>
    <t>. . . Biomasse PS</t>
  </si>
  <si>
    <t>. . . Date de semis</t>
  </si>
  <si>
    <t>note sur 10</t>
  </si>
  <si>
    <t>Azote</t>
  </si>
  <si>
    <t>Detourner les limaces</t>
  </si>
  <si>
    <t>Favoriser les auxiliaires</t>
  </si>
  <si>
    <t>Competition automne</t>
  </si>
  <si>
    <t>note</t>
  </si>
  <si>
    <t>nord, nord-est</t>
  </si>
  <si>
    <t>La date prévue de semis du colza :</t>
  </si>
  <si>
    <t>11/09 - 15/09</t>
  </si>
  <si>
    <t>region</t>
  </si>
  <si>
    <t>DateSemis</t>
  </si>
  <si>
    <t>concatener</t>
  </si>
  <si>
    <t>Semis</t>
  </si>
  <si>
    <t>sud</t>
  </si>
  <si>
    <t>ouest</t>
  </si>
  <si>
    <t>centre, est</t>
  </si>
  <si>
    <t xml:space="preserve"> 01/09 - 05/09</t>
  </si>
  <si>
    <t>06/09 - 10/09</t>
  </si>
  <si>
    <t>16/09 - 20/09</t>
  </si>
  <si>
    <t>&gt; 20/09</t>
  </si>
  <si>
    <r>
      <rPr>
        <b/>
        <sz val="11"/>
        <rFont val="Calibri"/>
        <family val="2"/>
      </rPr>
      <t>Presence orobanche rameuse</t>
    </r>
    <r>
      <rPr>
        <sz val="11"/>
        <rFont val="Calibri"/>
        <family val="2"/>
      </rPr>
      <t xml:space="preserve"> :
 La parcelle est-elle à risque d'Orobanche rameuse ?</t>
    </r>
  </si>
  <si>
    <t>Votre climat</t>
  </si>
  <si>
    <t>Votre parcelle</t>
  </si>
  <si>
    <t>Vos pratiques "colza"</t>
  </si>
  <si>
    <t>Semis au moins 5 jours avant le début de la période de semis conseillée.</t>
  </si>
  <si>
    <t>Semis dans les 5 jours qui précèdent la période de semis conseillée.</t>
  </si>
  <si>
    <t>&lt; 15/08</t>
  </si>
  <si>
    <t>Très précoce</t>
  </si>
  <si>
    <t>Précoce</t>
  </si>
  <si>
    <t>Département</t>
  </si>
  <si>
    <t>01</t>
  </si>
  <si>
    <t>02</t>
  </si>
  <si>
    <t>Grande région</t>
  </si>
  <si>
    <t>Intensité du gel</t>
  </si>
  <si>
    <t>Risque stress hydrique</t>
  </si>
  <si>
    <t xml:space="preserve">Quelle est la famille de la culture précédente ? </t>
  </si>
  <si>
    <t>Légumineuse</t>
  </si>
  <si>
    <t>03</t>
  </si>
  <si>
    <t>04</t>
  </si>
  <si>
    <t>05</t>
  </si>
  <si>
    <t>06</t>
  </si>
  <si>
    <t>07</t>
  </si>
  <si>
    <t>08</t>
  </si>
  <si>
    <t>09</t>
  </si>
  <si>
    <t>10</t>
  </si>
  <si>
    <t>11</t>
  </si>
  <si>
    <t>12</t>
  </si>
  <si>
    <t>13</t>
  </si>
  <si>
    <t>14</t>
  </si>
  <si>
    <t>15</t>
  </si>
  <si>
    <t>16</t>
  </si>
  <si>
    <t>17</t>
  </si>
  <si>
    <t>18</t>
  </si>
  <si>
    <t>19</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</si>
  <si>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</si>
  <si>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</si>
  <si>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</si>
  <si>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</si>
  <si>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</si>
  <si>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</si>
  <si>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</si>
  <si>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</si>
  <si>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</si>
  <si>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</si>
  <si>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</si>
  <si>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</si>
  <si>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</si>
  <si>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</si>
  <si>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</si>
  <si>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</si>
  <si>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</si>
  <si>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</si>
  <si>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</si>
  <si>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</si>
  <si>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</si>
  <si>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</si>
  <si>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</si>
  <si>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</si>
  <si>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</si>
  <si>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</si>
  <si>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</si>
  <si>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</si>
  <si>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</si>
  <si>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</si>
  <si>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</si>
  <si>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</si>
  <si>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</si>
  <si>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</si>
  <si>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</si>
  <si>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</si>
  <si>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</si>
  <si>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</si>
  <si>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</si>
  <si>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</si>
  <si>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</si>
  <si>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</si>
  <si>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</si>
  <si>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</si>
  <si>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</si>
  <si>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</si>
  <si>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</si>
  <si>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</si>
  <si>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</si>
  <si>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</si>
  <si>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</si>
  <si>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</si>
  <si>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</si>
  <si>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</si>
  <si>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</si>
  <si>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</si>
  <si>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</si>
  <si>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</si>
  <si>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</si>
  <si>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</si>
  <si>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</si>
  <si>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</si>
  <si>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</si>
  <si>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</si>
  <si>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</si>
  <si>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</si>
  <si>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</si>
  <si>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</si>
  <si>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</si>
  <si>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</si>
  <si>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</si>
  <si>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</si>
  <si>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</si>
  <si>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</si>
  <si>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</si>
  <si>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mélange</t>
  </si>
  <si>
    <t>Les pailles ont-elles été exportées ?</t>
  </si>
  <si>
    <t>apport N</t>
  </si>
  <si>
    <t>culture précédente</t>
  </si>
  <si>
    <t>Non-légumineuse</t>
  </si>
  <si>
    <t>rendement objectif atteint</t>
  </si>
  <si>
    <t>pailles exportées</t>
  </si>
  <si>
    <t>CONCATENER</t>
  </si>
  <si>
    <t>Disponibilité azote au semis</t>
  </si>
  <si>
    <t>Programme de desherbage</t>
  </si>
  <si>
    <t>Longueur de rotation</t>
  </si>
  <si>
    <t>&gt; 5 ans</t>
  </si>
  <si>
    <t>4-5 ans</t>
  </si>
  <si>
    <t>Espèces à forte nuisibilité sur le colza</t>
  </si>
  <si>
    <t>Pression adventices</t>
  </si>
  <si>
    <t>Moyenne</t>
  </si>
  <si>
    <t>Forte</t>
  </si>
  <si>
    <t>Votre département :</t>
  </si>
  <si>
    <r>
      <rPr>
        <b/>
        <sz val="11"/>
        <rFont val="Calibri"/>
        <family val="2"/>
      </rPr>
      <t>Type de flore</t>
    </r>
    <r>
      <rPr>
        <sz val="11"/>
        <rFont val="Calibri"/>
        <family val="2"/>
      </rPr>
      <t xml:space="preserve"> </t>
    </r>
    <r>
      <rPr>
        <b/>
        <sz val="11"/>
        <rFont val="Calibri"/>
        <family val="2"/>
      </rPr>
      <t>adventices</t>
    </r>
    <r>
      <rPr>
        <sz val="11"/>
        <rFont val="Calibri"/>
        <family val="2"/>
      </rPr>
      <t xml:space="preserve"> : 
Quelles sont les espèces adventices dominantes généralement présentes dans le parcelle ? </t>
    </r>
  </si>
  <si>
    <t>Limiter les attaques d’altises et de charançon du bourgeon terminal à l’automne</t>
  </si>
  <si>
    <t>21/08 - 25/08</t>
  </si>
  <si>
    <t>16/08 - 20/08</t>
  </si>
  <si>
    <r>
      <rPr>
        <b/>
        <sz val="11"/>
        <color indexed="8"/>
        <rFont val="Calibri"/>
        <family val="2"/>
      </rPr>
      <t>Facteur limitant</t>
    </r>
    <r>
      <rPr>
        <b/>
        <sz val="11"/>
        <color indexed="8"/>
        <rFont val="Calibri"/>
        <family val="2"/>
      </rPr>
      <t xml:space="preserve"> du sol </t>
    </r>
    <r>
      <rPr>
        <sz val="11"/>
        <color theme="1"/>
        <rFont val="Calibri"/>
        <family val="2"/>
        <scheme val="minor"/>
      </rPr>
      <t>:
 Le sol de la parcelle présente-t-il potentiellement un des facteurs limitant suivant : hydromorphie, sol superficiel, sol battant.</t>
    </r>
  </si>
  <si>
    <t>Chimique, précoce</t>
  </si>
  <si>
    <t>Destruction par le gel</t>
  </si>
  <si>
    <t>perturber les insectes automne</t>
  </si>
  <si>
    <t>Régulation adventices automne</t>
  </si>
  <si>
    <t>Légende</t>
  </si>
  <si>
    <t>Régulation adventices printemps</t>
  </si>
  <si>
    <t>Régulation Orobanche rameuse</t>
  </si>
  <si>
    <t>Récolte grain automne</t>
  </si>
  <si>
    <t>Récolte grain été</t>
  </si>
  <si>
    <t>Récolte PS fourrage</t>
  </si>
  <si>
    <t>Lentille fourragere</t>
  </si>
  <si>
    <t>. . . . Disponibilite d'azote au semis</t>
  </si>
  <si>
    <t>Accroître l’autonomie azotée de la culture de colza</t>
  </si>
  <si>
    <t>Adventices automne</t>
  </si>
  <si>
    <t>Insectes automne</t>
  </si>
  <si>
    <t>Limaces</t>
  </si>
  <si>
    <t>Détourner les limaces du colza par des plantes de services plus appétentes</t>
  </si>
  <si>
    <t>Auxiliaires</t>
  </si>
  <si>
    <t>Favoriser les populations d’auxiliaires à l'automne</t>
  </si>
  <si>
    <t>Adventices printemps</t>
  </si>
  <si>
    <t>Orobanche rameuse</t>
  </si>
  <si>
    <t>Déclencher la germination suicide des graines d'orobanche par les plantes de services</t>
  </si>
  <si>
    <t>Récolte à  l'automne</t>
  </si>
  <si>
    <t>Récolter les graines des plantes de services avant sa destruction</t>
  </si>
  <si>
    <t>Récolte à l'été</t>
  </si>
  <si>
    <t>Récolter les graines de plantes de services en même temps que le colza</t>
  </si>
  <si>
    <t>Couverture permanent
Récolte de fourrage</t>
  </si>
  <si>
    <t>Fournir une couverture permanente par des espèces pérennes, éventuellement récoltées en fourrage l'année suivant l'implantation</t>
  </si>
  <si>
    <t>Très précoce (avant la date conseillée) : Situation idéale au bon développement des couverts</t>
  </si>
  <si>
    <t>Précoce (5 premiers jours de la période conseillée) : Situation favorable au développement des couverts</t>
  </si>
  <si>
    <t>Intermédiaire (période conseillée) : Le développement des couverts associés ne sera pas optimal</t>
  </si>
  <si>
    <t>Tardive (après la période conseillée) : Les couverts risquent de ne pas se développer assez et de ne pas fournir les services</t>
  </si>
  <si>
    <t xml:space="preserve">Recherchez-vous d'autres services ? </t>
  </si>
  <si>
    <t>Coût de semis</t>
  </si>
  <si>
    <t>Menus déroulants</t>
  </si>
  <si>
    <t>Très précoce : Situation idéale au bon développement des couverts</t>
  </si>
  <si>
    <t>Précoce : Situation favorable au développement des couverts</t>
  </si>
  <si>
    <t>Intermédiaire : Le développement des couverts associés ne sera pas optimal. Essayez d'avancer la date de semis pour favoriser le développement des couverts.</t>
  </si>
  <si>
    <t>Tardive : Les couverts risquent de ne pas se développer suffisamment pour fournir des services</t>
  </si>
  <si>
    <t>Valeur</t>
  </si>
  <si>
    <r>
      <t>Puis-je associer le colza à des plantes de services sur ma parcelle ?</t>
    </r>
    <r>
      <rPr>
        <b/>
        <sz val="12"/>
        <color indexed="8"/>
        <rFont val="Calibri"/>
        <family val="2"/>
      </rPr>
      <t/>
    </r>
  </si>
  <si>
    <t xml:space="preserve">Qualifiez l'intensité du programme de désherbage de votre culture de colza en routine : </t>
  </si>
  <si>
    <t>Faible : pas de désherbage ou désherbage léger (impasse fréquente sur antidicots ou dose réduite en précoce)</t>
  </si>
  <si>
    <t>Moyenne : les adventices sont bien maîtrisées, mais avec un programme de désherbage costaud : traitement pre-levée/post-levée précoce pleine dose et systématique.</t>
  </si>
  <si>
    <t>Famille précédent</t>
  </si>
  <si>
    <t>#Region_Dsemis</t>
  </si>
  <si>
    <t>#RDD_semis</t>
  </si>
  <si>
    <t>1. Date de semis</t>
  </si>
  <si>
    <t>#Département</t>
  </si>
  <si>
    <t>3. Disponibilité en azote</t>
  </si>
  <si>
    <t>#Azote</t>
  </si>
  <si>
    <t>2. Adventices</t>
  </si>
  <si>
    <t>#Pression_adventices</t>
  </si>
  <si>
    <r>
      <t>1. Date de semis
Favorisez le développement des couverts en semant le plus tôt possible !</t>
    </r>
    <r>
      <rPr>
        <sz val="11"/>
        <color indexed="8"/>
        <rFont val="Calibri"/>
        <family val="2"/>
      </rPr>
      <t/>
    </r>
  </si>
  <si>
    <t>2. Pression adventices 
Associer le colza dans une parcelle propre : un couvert n'est pas suffisant pour gérer une flore non maîtrisée !</t>
  </si>
  <si>
    <t>3. Disponibilité en azote dans le sol
N'attendez pas trop de services dans un sol riche !</t>
  </si>
  <si>
    <t>Elevée</t>
  </si>
  <si>
    <t>#RDD_Adventices</t>
  </si>
  <si>
    <t>Note finale</t>
  </si>
  <si>
    <t>#RDD_azote</t>
  </si>
  <si>
    <t>Avant-propos :</t>
  </si>
  <si>
    <t>Disponibilité en azote</t>
  </si>
  <si>
    <t>Espèces nuislbles</t>
  </si>
  <si>
    <t>Programme désherbage</t>
  </si>
  <si>
    <t>Forte : les adventices concurrenceront le colza et le couvert. Améliorer la situation en jouant sur d'autres leviers agronomiques avant d'envisager l'association du colza.</t>
  </si>
  <si>
    <t>Moyenne : les adventices pourraient se développer avec le couvert. Adapter le désherbage.</t>
  </si>
  <si>
    <t>Faible : les adventices ne devraient pas être un problème.</t>
  </si>
  <si>
    <t>Espèce non détruite en sortie d'hiver</t>
  </si>
  <si>
    <t>…</t>
  </si>
  <si>
    <t>Espèce détruite en sortie d'hiver</t>
  </si>
  <si>
    <t>Forte biomasse produite en entrée hiver</t>
  </si>
  <si>
    <r>
      <rPr>
        <sz val="10"/>
        <color indexed="8"/>
        <rFont val="Calibri"/>
        <family val="2"/>
      </rPr>
      <t>≤</t>
    </r>
    <r>
      <rPr>
        <sz val="10"/>
        <color indexed="8"/>
        <rFont val="Calibri"/>
        <family val="2"/>
      </rPr>
      <t xml:space="preserve"> 3 ans</t>
    </r>
  </si>
  <si>
    <t>Faible biomasse produite en entrée hiver</t>
  </si>
  <si>
    <t>Partenaires du projet CASDAR ALLIANCE, ayant contribué à la réalisation de cet outil :</t>
  </si>
  <si>
    <t xml:space="preserve">Et avec la contribution de : </t>
  </si>
  <si>
    <t>Pois fourrager de printemps</t>
  </si>
  <si>
    <t>Quelle est la fréquence de retour de colza sur votre parcelle?</t>
  </si>
  <si>
    <t>Résistance de la plante de service aux herbicides du colza</t>
  </si>
  <si>
    <t>% de dose de semis</t>
  </si>
  <si>
    <t xml:space="preserve">       Critères de choix complémentaires</t>
  </si>
  <si>
    <t>Destruction chimique systématique, incluse dans une stratégie de désherbage d'entrée hiver (produits à base d'aminopyralide + propyzamide type IELO ou CALLISTO).</t>
  </si>
  <si>
    <t>Acide</t>
  </si>
  <si>
    <t>Basique</t>
  </si>
  <si>
    <t>. . . Hauteur PS</t>
  </si>
  <si>
    <t>Pas amplification des maladies SDC</t>
  </si>
  <si>
    <r>
      <rPr>
        <b/>
        <sz val="11"/>
        <color indexed="8"/>
        <rFont val="Calibri"/>
        <family val="2"/>
      </rPr>
      <t xml:space="preserve">Infestation adventices : 
 </t>
    </r>
    <r>
      <rPr>
        <sz val="11"/>
        <color theme="1"/>
        <rFont val="Calibri"/>
        <family val="2"/>
        <scheme val="minor"/>
      </rPr>
      <t>Risque d'infestation de la parcelle en adventices.</t>
    </r>
  </si>
  <si>
    <t>Potentiel de production biomasse PS</t>
  </si>
  <si>
    <t>Competition exercée sur PS</t>
  </si>
  <si>
    <t>Competition colza sur PS</t>
  </si>
  <si>
    <t>Traits PS compétition</t>
  </si>
  <si>
    <t>Competition lumière sur PS</t>
  </si>
  <si>
    <t>Competition azote sur PS</t>
  </si>
  <si>
    <t>Conditions d'implantation</t>
  </si>
  <si>
    <t>Risque sécheresse</t>
  </si>
  <si>
    <t>Dégâts limaces</t>
  </si>
  <si>
    <t>Adequation PS - pH sol</t>
  </si>
  <si>
    <t>Ressources pour la croissance PS</t>
  </si>
  <si>
    <t>Alimentation azotée PS</t>
  </si>
  <si>
    <t>Temperature et rayonnement</t>
  </si>
  <si>
    <t>Tres faible</t>
  </si>
  <si>
    <t>Tres fort</t>
  </si>
  <si>
    <t>Tres forte</t>
  </si>
  <si>
    <t>Infestation adventices</t>
  </si>
  <si>
    <t>Disponibilité d'azote au semis</t>
  </si>
  <si>
    <t>Déficit hydrique</t>
  </si>
  <si>
    <t>Risque limaces parcelle</t>
  </si>
  <si>
    <t>pH Sol</t>
  </si>
  <si>
    <t>Neutre</t>
  </si>
  <si>
    <t>Intermediaire</t>
  </si>
  <si>
    <t>Allelopathie</t>
  </si>
  <si>
    <t>Surface d'une feuille PS</t>
  </si>
  <si>
    <t>PS Fixatrice N</t>
  </si>
  <si>
    <t>Resistance à la sécheresse PS</t>
  </si>
  <si>
    <t>Appetence Limaces PS</t>
  </si>
  <si>
    <t>Preference pH PS</t>
  </si>
  <si>
    <t>Pas de preference</t>
  </si>
  <si>
    <t>Sol à tendance acide</t>
  </si>
  <si>
    <t>Sol à pH neutre</t>
  </si>
  <si>
    <t>Sol à tendance basique</t>
  </si>
  <si>
    <t>Presence orobanche</t>
  </si>
  <si>
    <t>type de flore</t>
  </si>
  <si>
    <t>Frequence de gel</t>
  </si>
  <si>
    <t>Allelopathie PS</t>
  </si>
  <si>
    <t>Potentiel de production de biomasse PS</t>
  </si>
  <si>
    <t>Déficit hydrique en septembre</t>
  </si>
  <si>
    <t>Appetence limaces PS</t>
  </si>
  <si>
    <t>pH sol</t>
  </si>
  <si>
    <t>Preference pH sol</t>
  </si>
  <si>
    <t>Traits d'espèce</t>
  </si>
  <si>
    <t>Donnée utilisateur</t>
  </si>
  <si>
    <t>Risque de sécheresse</t>
  </si>
  <si>
    <t>Competition azote</t>
  </si>
  <si>
    <t>Competition lumiere</t>
  </si>
  <si>
    <t>Competition excercee sur PS</t>
  </si>
  <si>
    <t>Potentiel de production de biomasse</t>
  </si>
  <si>
    <t>.Biomasse PS</t>
  </si>
  <si>
    <t>Quantitatif</t>
  </si>
  <si>
    <t>Qualitatif</t>
  </si>
  <si>
    <t>Agrégation</t>
  </si>
  <si>
    <t>Temperature rayonnement</t>
  </si>
  <si>
    <t>RDD_Temperature_Rayonnement</t>
  </si>
  <si>
    <t>Concatener</t>
  </si>
  <si>
    <t>Competition exercee sur PS</t>
  </si>
  <si>
    <t>RDD_Biomasse_PS</t>
  </si>
  <si>
    <t>Dégats limaces</t>
  </si>
  <si>
    <t>RDD_Conditions_Implantation</t>
  </si>
  <si>
    <t>Ressources croissance PS</t>
  </si>
  <si>
    <t>RDD_Ressources_Croissance_PS</t>
  </si>
  <si>
    <t>RDD_Alimentation_Azotee_PS</t>
  </si>
  <si>
    <t>RDD_Adequation_PS_pH_Sol</t>
  </si>
  <si>
    <t>Appetence limaces</t>
  </si>
  <si>
    <t>RDD_Degats_Limaces</t>
  </si>
  <si>
    <t>RDD_Risque_Secheresse</t>
  </si>
  <si>
    <t>Traits PS competition</t>
  </si>
  <si>
    <t>RDD_Competition_Exercee_PS</t>
  </si>
  <si>
    <t>Traits PS Competition</t>
  </si>
  <si>
    <t>Competition lumière</t>
  </si>
  <si>
    <t>RDD_Traits_PS_Competition</t>
  </si>
  <si>
    <t>RDD_Competition_lumiere</t>
  </si>
  <si>
    <t>RDD_Competition_azote</t>
  </si>
  <si>
    <t>Lise Luczak, CA17 (lise.luczak@charente-maritime.chambagri.fr)</t>
  </si>
  <si>
    <t>Profondeur systeme racinaire PS</t>
  </si>
  <si>
    <t>Superficiel</t>
  </si>
  <si>
    <t>Profond</t>
  </si>
  <si>
    <t>Configuration systeme racinaire</t>
  </si>
  <si>
    <t>Fascicule</t>
  </si>
  <si>
    <t>Pivotant</t>
  </si>
  <si>
    <t>Odeur PS</t>
  </si>
  <si>
    <t>Precocite PS</t>
  </si>
  <si>
    <t>Tardif</t>
  </si>
  <si>
    <t>Nectar Extrafloral PS</t>
  </si>
  <si>
    <t>Capacite Germination orobanche PS</t>
  </si>
  <si>
    <t>Sensibilite gel PS</t>
  </si>
  <si>
    <t>Amplification maladie SDC</t>
  </si>
  <si>
    <t>Amplification maladie</t>
  </si>
  <si>
    <t>Tenue tige PS</t>
  </si>
  <si>
    <t>Feverole de printemps type Espresso</t>
  </si>
  <si>
    <t>Catégorie de traits</t>
  </si>
  <si>
    <t>Architecture et croissance</t>
  </si>
  <si>
    <t>Dégradation de la MO</t>
  </si>
  <si>
    <t>Indices écologiques</t>
  </si>
  <si>
    <t>Cycle de vie</t>
  </si>
  <si>
    <t>Production de nectar extrafloral PS</t>
  </si>
  <si>
    <t>Autres</t>
  </si>
  <si>
    <t>Intérêt fourrager</t>
  </si>
  <si>
    <t>Interactions avec les autres organismes</t>
  </si>
  <si>
    <t>Traits</t>
  </si>
  <si>
    <r>
      <rPr>
        <b/>
        <sz val="11"/>
        <color indexed="8"/>
        <rFont val="Calibri"/>
        <family val="2"/>
      </rPr>
      <t>Frequence de gel</t>
    </r>
    <r>
      <rPr>
        <sz val="11"/>
        <color theme="1"/>
        <rFont val="Calibri"/>
        <family val="2"/>
        <scheme val="minor"/>
      </rPr>
      <t xml:space="preserve"> : 
 Probabilité d’atteindre un gel fort sur la parcelle, qui mènera à la destruction de la plante de service ? </t>
    </r>
  </si>
  <si>
    <r>
      <rPr>
        <b/>
        <sz val="11"/>
        <color indexed="8"/>
        <rFont val="Calibri"/>
        <family val="2"/>
      </rPr>
      <t>Deficit hydrique</t>
    </r>
    <r>
      <rPr>
        <sz val="11"/>
        <color theme="1"/>
        <rFont val="Calibri"/>
        <family val="2"/>
        <scheme val="minor"/>
      </rPr>
      <t xml:space="preserve"> : 
 Risque de stress hydrique pendant la phase d'établissement du couvert. </t>
    </r>
  </si>
  <si>
    <r>
      <rPr>
        <b/>
        <sz val="11"/>
        <color indexed="8"/>
        <rFont val="Calibri"/>
        <family val="2"/>
      </rPr>
      <t>pH du sol</t>
    </r>
    <r>
      <rPr>
        <sz val="11"/>
        <color theme="1"/>
        <rFont val="Calibri"/>
        <family val="2"/>
        <scheme val="minor"/>
      </rPr>
      <t xml:space="preserve"> de votre parcelle</t>
    </r>
  </si>
  <si>
    <r>
      <rPr>
        <b/>
        <sz val="11"/>
        <color indexed="8"/>
        <rFont val="Calibri"/>
        <family val="2"/>
      </rPr>
      <t xml:space="preserve">Date de semis </t>
    </r>
    <r>
      <rPr>
        <sz val="11"/>
        <color indexed="8"/>
        <rFont val="Calibri"/>
        <family val="2"/>
      </rPr>
      <t>envisagée</t>
    </r>
    <r>
      <rPr>
        <sz val="11"/>
        <color theme="1"/>
        <rFont val="Calibri"/>
        <family val="2"/>
        <scheme val="minor"/>
      </rPr>
      <t xml:space="preserve"> pour le colza </t>
    </r>
  </si>
  <si>
    <r>
      <rPr>
        <b/>
        <sz val="11"/>
        <color indexed="8"/>
        <rFont val="Calibri"/>
        <family val="2"/>
      </rPr>
      <t>Mode de destruction</t>
    </r>
    <r>
      <rPr>
        <sz val="11"/>
        <color theme="1"/>
        <rFont val="Calibri"/>
        <family val="2"/>
        <scheme val="minor"/>
      </rPr>
      <t xml:space="preserve"> du couvert associé envisagé à priori par l'utilisateur.</t>
    </r>
  </si>
  <si>
    <t xml:space="preserve">Destruction du couvert par le gel, sinon par un herbicide de rattrapage en sortie d'hiver (produits à base de clopyralide ou mésotrione type LONTREL). </t>
  </si>
  <si>
    <t>Compétition exercée à l'automne</t>
  </si>
  <si>
    <r>
      <t xml:space="preserve"> &gt;</t>
    </r>
    <r>
      <rPr>
        <sz val="10"/>
        <color indexed="8"/>
        <rFont val="Calibri"/>
        <family val="2"/>
      </rPr>
      <t xml:space="preserve"> 5 ans</t>
    </r>
  </si>
  <si>
    <t>Elevée : les adventices sont plutôt difficiles à gérer, programme de désherbage pré-levée à pleine dose (type Colzamid 2.8L, Colzor trio 3.5L). Des espèces résistantes sont présentes.</t>
  </si>
  <si>
    <t>Apport N</t>
  </si>
  <si>
    <t>Oui/Non</t>
  </si>
  <si>
    <t xml:space="preserve">Un apport d'azote est-il effectué avant le semis du colza ?
</t>
  </si>
  <si>
    <t xml:space="preserve">Faible : pas d'apport </t>
  </si>
  <si>
    <t>Moyen : apport faible fertilisation minérale localisée, ou apport de compost, fumier pailleux</t>
  </si>
  <si>
    <t>Fort : apport important d'azote sous forme de MO type compost mûr, lisier ou de digestat</t>
  </si>
  <si>
    <t>Trefle blanc nain</t>
  </si>
  <si>
    <r>
      <rPr>
        <b/>
        <sz val="11"/>
        <color indexed="8"/>
        <rFont val="Calibri"/>
        <family val="2"/>
      </rPr>
      <t xml:space="preserve">Forts reliquats </t>
    </r>
    <r>
      <rPr>
        <sz val="11"/>
        <color theme="1"/>
        <rFont val="Calibri"/>
        <family val="2"/>
        <scheme val="minor"/>
      </rPr>
      <t>(&gt; 80 kg N/ha)</t>
    </r>
  </si>
  <si>
    <r>
      <rPr>
        <b/>
        <sz val="11"/>
        <color indexed="8"/>
        <rFont val="Calibri"/>
        <family val="2"/>
      </rPr>
      <t>Reliquats moyens</t>
    </r>
    <r>
      <rPr>
        <sz val="11"/>
        <color theme="1"/>
        <rFont val="Calibri"/>
        <family val="2"/>
        <scheme val="minor"/>
      </rPr>
      <t xml:space="preserve"> (entre 40 et 80 kg N/ha)</t>
    </r>
  </si>
  <si>
    <r>
      <rPr>
        <b/>
        <sz val="11"/>
        <color indexed="8"/>
        <rFont val="Calibri"/>
        <family val="2"/>
      </rPr>
      <t xml:space="preserve">Faibles </t>
    </r>
    <r>
      <rPr>
        <b/>
        <sz val="11"/>
        <color indexed="8"/>
        <rFont val="Calibri"/>
        <family val="2"/>
      </rPr>
      <t>reliquats</t>
    </r>
    <r>
      <rPr>
        <sz val="11"/>
        <color theme="1"/>
        <rFont val="Calibri"/>
        <family val="2"/>
        <scheme val="minor"/>
      </rPr>
      <t xml:space="preserve"> (&lt; 40 kg N/ha)</t>
    </r>
  </si>
  <si>
    <t>Sensibilite PS au gel</t>
  </si>
  <si>
    <t>Densité au semis</t>
  </si>
  <si>
    <t>Résistance de la plante de service aux herbicides</t>
  </si>
  <si>
    <t>Poids service recherché</t>
  </si>
  <si>
    <t>RDD_competition_automne</t>
  </si>
  <si>
    <t>Tenue de tige PS</t>
  </si>
  <si>
    <t>+</t>
  </si>
  <si>
    <t>-</t>
  </si>
  <si>
    <t>Appetence limace PS</t>
  </si>
  <si>
    <t>Risque limace parcelle</t>
  </si>
  <si>
    <t>Disponibilite d'azote au semis</t>
  </si>
  <si>
    <t>Recolte PS fourrage</t>
  </si>
  <si>
    <t>Destruction PS</t>
  </si>
  <si>
    <t>RDD_destruction_par_gel</t>
  </si>
  <si>
    <t>RDD_destruction_PS</t>
  </si>
  <si>
    <t>Interet fourrager PS</t>
  </si>
  <si>
    <t>RDD_recolte_fourrage</t>
  </si>
  <si>
    <t>Recolte PS grain été</t>
  </si>
  <si>
    <t>RDD_recolte_grain_ete</t>
  </si>
  <si>
    <t>Recolte grain PS ete</t>
  </si>
  <si>
    <t>Recolte PS grain automne</t>
  </si>
  <si>
    <t>Reliquat au semis</t>
  </si>
  <si>
    <t>RDD_reliquat_semis</t>
  </si>
  <si>
    <t>reliquat semis</t>
  </si>
  <si>
    <t>RDD_recolte_grain_automne</t>
  </si>
  <si>
    <t>Recolte grain PS automne</t>
  </si>
  <si>
    <t>Régulation orobanche rameuse</t>
  </si>
  <si>
    <t>Presence orobanche rameuse</t>
  </si>
  <si>
    <t>Capacite PS germination orobanche R</t>
  </si>
  <si>
    <t>Regulation orobanche rameuse</t>
  </si>
  <si>
    <t>RDD_regulation_orobanche</t>
  </si>
  <si>
    <t>Traits PS effet mulch</t>
  </si>
  <si>
    <t>RDD_traits_PS_effet_mulch</t>
  </si>
  <si>
    <t>Effet mulch - PS gelée</t>
  </si>
  <si>
    <t>Effet mulch - PS gelee</t>
  </si>
  <si>
    <t>RDD_effet_mulch_PS_gelee</t>
  </si>
  <si>
    <t>Effet competition - Plante vivante</t>
  </si>
  <si>
    <t>Effet competition - PS vivante</t>
  </si>
  <si>
    <t>RDD_effet_mulch_PS_vivante</t>
  </si>
  <si>
    <t>Regulation adventices printemps</t>
  </si>
  <si>
    <t>RDD_regulation_adventices_printemps</t>
  </si>
  <si>
    <t>Type de flore</t>
  </si>
  <si>
    <t>Regulation adventices automne</t>
  </si>
  <si>
    <t>Effet de competition - PS vivante</t>
  </si>
  <si>
    <t>RDD_regulation_adventices_automne</t>
  </si>
  <si>
    <t>Auxiliaires au sol</t>
  </si>
  <si>
    <t>RDD_auxiliaire_sol</t>
  </si>
  <si>
    <t>Auxiliaires volants</t>
  </si>
  <si>
    <t>Nectar extrafloral PS</t>
  </si>
  <si>
    <t>RDD_auxiliaire_volant</t>
  </si>
  <si>
    <t>RDD_Favoriser_auxiliaires</t>
  </si>
  <si>
    <t>Perturber insectes automne</t>
  </si>
  <si>
    <t>RDD_perturber_insectes_automne</t>
  </si>
  <si>
    <t>Détourner les limaces</t>
  </si>
  <si>
    <t>RDD_detourner_limaces</t>
  </si>
  <si>
    <t>Augmentation mineralisation MO sol</t>
  </si>
  <si>
    <t>RDD_augmentation_mineralisation_sol</t>
  </si>
  <si>
    <t>Regulation microclimat</t>
  </si>
  <si>
    <t>RDD_regulation_microclimat</t>
  </si>
  <si>
    <t>Puissance systeme racinaire PS</t>
  </si>
  <si>
    <t>Configuration système racinaire PS</t>
  </si>
  <si>
    <t>RDD_puissance_systeme_racinaire</t>
  </si>
  <si>
    <t>Configuration systeme racinaire PS</t>
  </si>
  <si>
    <t>Structuration du sol</t>
  </si>
  <si>
    <t>RDD_structuration_sol</t>
  </si>
  <si>
    <t>Facilitations pour absorption d'azote</t>
  </si>
  <si>
    <t>RDD_facilitation_absorption_azote</t>
  </si>
  <si>
    <t>Facilitations pour absorption de N</t>
  </si>
  <si>
    <t>Disponibilité physicochimique de l'azote</t>
  </si>
  <si>
    <t>RDD_disponibilite_physicochimique_azote</t>
  </si>
  <si>
    <t>Fraction soluble</t>
  </si>
  <si>
    <t>Disponibilite physicochimique N</t>
  </si>
  <si>
    <t>Fixation symbiotique</t>
  </si>
  <si>
    <t>RDD_fixation_symbiotique</t>
  </si>
  <si>
    <t>RDD_accumulation_azote</t>
  </si>
  <si>
    <t>Accumulation N PS</t>
  </si>
  <si>
    <t>Minéralisation résidus PS</t>
  </si>
  <si>
    <t>RDD_mineralisation_residus_PS</t>
  </si>
  <si>
    <t>Mineralisation PS</t>
  </si>
  <si>
    <t>RDD_azote3</t>
  </si>
  <si>
    <t>Accumulation azote PS</t>
  </si>
  <si>
    <t>Vert</t>
  </si>
  <si>
    <t>Jaune</t>
  </si>
  <si>
    <t>L'information est fiable, validée par toutes les sources consultées.</t>
  </si>
  <si>
    <t xml:space="preserve">L'information est plutôt fiable, mais validée par un nombre restreint de sources (au moins 2 sources). </t>
  </si>
  <si>
    <t>Rouge</t>
  </si>
  <si>
    <t>L'information demande a être confirmée, plusieurs sources sont discordantes pour ce trait d'espèce.</t>
  </si>
  <si>
    <t>L'information n'est pas validée, une seule source a été consultée.</t>
  </si>
  <si>
    <t>Gris</t>
  </si>
  <si>
    <t>Facteur de normalisation</t>
  </si>
  <si>
    <t>Normalisation et traitement des résultats</t>
  </si>
  <si>
    <t>Amplification des maladies SDC</t>
  </si>
  <si>
    <t>Coût des semences</t>
  </si>
  <si>
    <t>Densité de semis (kg/ha)</t>
  </si>
  <si>
    <t>Résistance aux herbicides précoces du colza</t>
  </si>
  <si>
    <t>Coût de semences (€/ha)</t>
  </si>
  <si>
    <t xml:space="preserve">Service recherché ? </t>
  </si>
  <si>
    <t xml:space="preserve">Ces traits, ou caractéristiques d'espèces, ont été compilés dans ce tableau à partir de multiples sources (mesures d'expérimentations, guides techniques sur les couverts végétaux, livres). Ils ont été soumis à validation à des personnes qui connaissent et utilisent ces espèces. Malgré tout, ce tableau a fait l'objet de simplifications. Un code couleur est proposé pour donner une idée de la fiabilité de l'information : </t>
  </si>
  <si>
    <t>Sensibilité aux herbicides de désherbage précoce du colza</t>
  </si>
  <si>
    <t>. Potentiel de production biomasse PS</t>
  </si>
  <si>
    <t>. Competition exercee sur PS</t>
  </si>
  <si>
    <t>. . Infestation adventices</t>
  </si>
  <si>
    <t>. . Competition colza sur PS</t>
  </si>
  <si>
    <t>. . . Disponibilite d'azote au semis</t>
  </si>
  <si>
    <t>. . Traits PS competition</t>
  </si>
  <si>
    <t>. . . Allelopathie PS</t>
  </si>
  <si>
    <t>. . . Competition lumiere</t>
  </si>
  <si>
    <t>. . . . Vitesse croissance PS</t>
  </si>
  <si>
    <t>. . . . Surface d'une feuille PS</t>
  </si>
  <si>
    <t>. . . Competition azote</t>
  </si>
  <si>
    <t>. . . . Nitrophilie PS</t>
  </si>
  <si>
    <t>. . . . PS fixatrice N</t>
  </si>
  <si>
    <t>. Conditions implantation</t>
  </si>
  <si>
    <t>. . Risque secheresse</t>
  </si>
  <si>
    <t>. . . Deficit hydrique</t>
  </si>
  <si>
    <t>. . . Resistance secheresse PS</t>
  </si>
  <si>
    <t>. . Degats limaces</t>
  </si>
  <si>
    <t>. . Adequation PS - pH sol</t>
  </si>
  <si>
    <t>. . . pH sol</t>
  </si>
  <si>
    <t>. . . Preference pH PS</t>
  </si>
  <si>
    <t>. Ressources pour la croissance</t>
  </si>
  <si>
    <t>. . Alimentation azotÈe PS limitante</t>
  </si>
  <si>
    <t>. . . PS fixatrice N</t>
  </si>
  <si>
    <t>. . Temperature rayonnement</t>
  </si>
  <si>
    <t>. . . Sensibilite PS au gel</t>
  </si>
  <si>
    <t>. Mineralisation residus PS</t>
  </si>
  <si>
    <t>. . Accumulation N PS</t>
  </si>
  <si>
    <t>. . . Teneur N PS</t>
  </si>
  <si>
    <t>. . . Fixation symbiotique</t>
  </si>
  <si>
    <t>. . Disponibilite physicochimique N</t>
  </si>
  <si>
    <t>. . . Biomasse PS morte en contact au sol</t>
  </si>
  <si>
    <t>. . . Fraction soluble</t>
  </si>
  <si>
    <t>. . Destruction PS</t>
  </si>
  <si>
    <t>. . . Destruction par le gel PS</t>
  </si>
  <si>
    <t>. . . . Frequence de gel</t>
  </si>
  <si>
    <t>. . . . Sensibilite PS au gel</t>
  </si>
  <si>
    <t>. . . Mode de destruction</t>
  </si>
  <si>
    <t>. Facilitations pour absorption de N</t>
  </si>
  <si>
    <t>. . Structuration du sol</t>
  </si>
  <si>
    <t>. . . Puissance systeme racinaire PS</t>
  </si>
  <si>
    <t>. . . . Profondeur systeme racinaire PS</t>
  </si>
  <si>
    <t>. . . . Configuration systeme racinaire PS</t>
  </si>
  <si>
    <t>. . . Sol facteur limitant</t>
  </si>
  <si>
    <t>. . Regulation microclimat</t>
  </si>
  <si>
    <t>. . Augmentation mineralisation MO sol</t>
  </si>
  <si>
    <t>. Appetence limace PS</t>
  </si>
  <si>
    <t>. Risque limace parcelle</t>
  </si>
  <si>
    <t>. Hauteur PS</t>
  </si>
  <si>
    <t>. Odeur PS</t>
  </si>
  <si>
    <t>. Biomasse PS</t>
  </si>
  <si>
    <t>. Auxiliaires volants</t>
  </si>
  <si>
    <t>. . Precocite PS</t>
  </si>
  <si>
    <t>. . Nectar extrafloral PS</t>
  </si>
  <si>
    <t>. Auxiliaires au sol</t>
  </si>
  <si>
    <t>. . Biomasse PS</t>
  </si>
  <si>
    <t>. Effet de competition - PS vivante</t>
  </si>
  <si>
    <t>. Type de flore</t>
  </si>
  <si>
    <t>. Destruction PS</t>
  </si>
  <si>
    <t>. . Destruction par le gel</t>
  </si>
  <si>
    <t>. . . Frequence de gel</t>
  </si>
  <si>
    <t>. . Mode de destruction</t>
  </si>
  <si>
    <t>. Effet competition - Plante vivante</t>
  </si>
  <si>
    <t>. Effet mulch - PS gelee</t>
  </si>
  <si>
    <t>. . Traits PS effet mulch</t>
  </si>
  <si>
    <t>. Capacite PS germination orobanche R</t>
  </si>
  <si>
    <t>. Presence orobanche rameuse</t>
  </si>
  <si>
    <t>. Date de semis</t>
  </si>
  <si>
    <t>. Longueur cycle PS</t>
  </si>
  <si>
    <t>. reliquat semis</t>
  </si>
  <si>
    <t>. . Disponibilite d'azote au semis</t>
  </si>
  <si>
    <t>. Interet fourrager PS</t>
  </si>
  <si>
    <t>. Traits PS competition</t>
  </si>
  <si>
    <t>. . Allelopathie PS</t>
  </si>
  <si>
    <t>. . Competition lumiere</t>
  </si>
  <si>
    <t>. . . Vitesse croissance PS</t>
  </si>
  <si>
    <t>. . . Surface d'une feuille PS</t>
  </si>
  <si>
    <t>. . Competition azote</t>
  </si>
  <si>
    <t>. . . Nitrophilie PS</t>
  </si>
  <si>
    <t>. Tenue de tige PS</t>
  </si>
  <si>
    <t>Cet outil a été développé dans le cadre du projet Alliance "Amélioration des performances écologiques et économiques par association de plantes de services Légumineuses dans des systèmes de cultures à base de blé et de colza" (projet financé par les fonds CASDAR et piloté par l'UMR Agronomie de l'INRA de Versailles-Grignon).</t>
  </si>
  <si>
    <t>Objectifs :</t>
  </si>
  <si>
    <t>Nicolas Jullier, CA02 (nicolas.jullier@ma02.org)</t>
  </si>
  <si>
    <t>Sébastien Minette, CRA Nouvelle-Aquitaine (sebastien.minette@na.chambagri.fr)</t>
  </si>
  <si>
    <t>Eric Baraton, CA79 (Eric.baraton@deux-sevres.chambagri.fr)</t>
  </si>
  <si>
    <t>Sébastien Piaud, CA77 (Sebastien.Piaud@seine-et-marne.chambagri.fr)</t>
  </si>
  <si>
    <t>Florence Léon, CA49 (florence.leon@maine-et-loire.chambagri.fr)</t>
  </si>
  <si>
    <t>Emmanuel Dufour, CA80 (e.dufour@somme.chambagri.fr)</t>
  </si>
  <si>
    <t>Odile Tauvel, CA27 (odile.tauvel@agri-eure.com)</t>
  </si>
  <si>
    <t>Quentin Bordier, CA76 (quentin.bordier@seine-maritime.chambagri.fr)</t>
  </si>
  <si>
    <t>Sophie Wieruszeski, CA60 (sophie.wieruszeski@agri60.fr)</t>
  </si>
  <si>
    <t>Marie-Christine Bidault, CA16 (mariechristine.bidault@charente.chambagri.fr)</t>
  </si>
  <si>
    <r>
      <t>Renseignez</t>
    </r>
    <r>
      <rPr>
        <b/>
        <sz val="20"/>
        <color indexed="15"/>
        <rFont val="Calibri"/>
      </rPr>
      <t xml:space="preserve"> les cases bleues</t>
    </r>
    <r>
      <rPr>
        <b/>
        <sz val="20"/>
        <rFont val="Calibri"/>
      </rPr>
      <t xml:space="preserve"> pour décrire votre parcelle et son contexte</t>
    </r>
    <r>
      <rPr>
        <b/>
        <sz val="20"/>
        <color indexed="8"/>
        <rFont val="Calibri"/>
        <family val="2"/>
      </rPr>
      <t xml:space="preserve">
(</t>
    </r>
    <r>
      <rPr>
        <b/>
        <sz val="20"/>
        <color indexed="51"/>
        <rFont val="Calibri"/>
      </rPr>
      <t>Les cases jaunes</t>
    </r>
    <r>
      <rPr>
        <b/>
        <sz val="20"/>
        <color indexed="8"/>
        <rFont val="Calibri"/>
        <family val="2"/>
      </rPr>
      <t xml:space="preserve"> sont remplies automatiquement depuis l'onglet précédent).</t>
    </r>
  </si>
  <si>
    <r>
      <rPr>
        <b/>
        <sz val="11"/>
        <color indexed="8"/>
        <rFont val="Calibri"/>
        <family val="2"/>
      </rPr>
      <t xml:space="preserve">Risque de présence des limaces dans la parcelle : </t>
    </r>
    <r>
      <rPr>
        <sz val="11"/>
        <color theme="1"/>
        <rFont val="Calibri"/>
        <family val="2"/>
        <scheme val="minor"/>
      </rPr>
      <t xml:space="preserve">
Se référer à la grille d’évaluation ACTA : 
http://www.ciblage-anti-limaces.fr/c/evaluer-la-presence-et-lactivite-des-limaces/grille-devaluation-du-risque/</t>
    </r>
  </si>
  <si>
    <t>Reliquats au semis supérieurs à 80 kg N/ha</t>
  </si>
  <si>
    <t>Reliquats au semis entre 40 et 80 kg N/ha</t>
  </si>
  <si>
    <t>Reliquats au semis inférieurs à 40 kg N/ha</t>
  </si>
  <si>
    <r>
      <rPr>
        <b/>
        <sz val="11"/>
        <color indexed="8"/>
        <rFont val="Calibri"/>
        <family val="2"/>
      </rPr>
      <t xml:space="preserve">Disponibilite d'azote au semis </t>
    </r>
    <r>
      <rPr>
        <sz val="11"/>
        <color theme="1"/>
        <rFont val="Calibri"/>
        <family val="2"/>
        <scheme val="minor"/>
      </rPr>
      <t>: 
Quantité d'azote minéral disponible au semis et mobilisable par la culture à l'automne.</t>
    </r>
  </si>
  <si>
    <t>Le colza aura une croissance non limitée par l'azote. Dans ces conditions, les espèces associées seront fortement concurrencées par le colza, et les services liés ne seront rendus (notamment pour les adventices et pour l'azote). L'association est à réserver à quelques cas particuliers : semis à grand écartement et faible couverture du sol à l'automne, recherche d'un service de lutte contre les insectes à l'automne, etc.</t>
  </si>
  <si>
    <t>Cette situation est idéale, les espèces associées pourront compenser le manque de vigueur du colza, améliorer la couverture du sol et rendre des services.</t>
  </si>
  <si>
    <t>Le colza, plutôt bien nourri, devrait être assez vigoureux cet automne. Peu de bénéfices "Adventices" et "Azote" à attendre des espèces associées.</t>
  </si>
  <si>
    <t>Situation favorable à l'expression des services liées aux espèces associées. Vous pouvez associer le colza à des plantes de services.</t>
  </si>
  <si>
    <t>Toutes les bonnes conditions ne sont pas réunies. Les services attendus ne seront peut être pas au rendez-vous.</t>
  </si>
  <si>
    <t xml:space="preserve">Situation défavorable et à améliorer pour que les espèces associées puissent apporter des bénéfices (notamment pour l'azote et les adventices).  </t>
  </si>
  <si>
    <t>Faisabilité globale d'une association du colza dans votre parcelle :</t>
  </si>
  <si>
    <t>Catégorie</t>
  </si>
  <si>
    <t>Resistance herbicide</t>
  </si>
  <si>
    <t>Azote - engrais vert</t>
  </si>
  <si>
    <t>Ralentir le développement des adventices en automne</t>
  </si>
  <si>
    <t>Réduire la pression des adventices par un effet de mulch mort</t>
  </si>
  <si>
    <t>Les 3 services principaux (par défaut)</t>
  </si>
  <si>
    <t>Concevoir un mélange : renseigner la dose de semis de l'espèce dans votre mélange (kg/ha)</t>
  </si>
  <si>
    <t>ordre</t>
  </si>
  <si>
    <t>especes</t>
  </si>
  <si>
    <t>dose en mélange</t>
  </si>
  <si>
    <t>taux de remplissage du mélange</t>
  </si>
  <si>
    <t>Dose de semis en association avec le colza (kg/ha)</t>
  </si>
  <si>
    <t>Distance</t>
  </si>
  <si>
    <t>Espèces en mélange (5 max)</t>
  </si>
  <si>
    <t>Moyenne du mélange</t>
  </si>
  <si>
    <t>Combinaisons des espèces 2 à 2</t>
  </si>
  <si>
    <t>carré de la différence</t>
  </si>
  <si>
    <t>1 = faible</t>
  </si>
  <si>
    <t>2 = moyenne</t>
  </si>
  <si>
    <t>3 = forte</t>
  </si>
  <si>
    <t>1 = système fasciculé</t>
  </si>
  <si>
    <t>2 = système mixte</t>
  </si>
  <si>
    <t>3 = système pivotant</t>
  </si>
  <si>
    <t>1 = système superficiel</t>
  </si>
  <si>
    <t>2 = système intermédiaire</t>
  </si>
  <si>
    <t>3 = système profond</t>
  </si>
  <si>
    <t>Nombre d'espèces en mélange</t>
  </si>
  <si>
    <t>Constitution d'un mélange (vérifier la complémentarité ou la redondance des traits des espèces en mélange)</t>
  </si>
  <si>
    <t>Mélanges</t>
  </si>
  <si>
    <t>pondération biomasse</t>
  </si>
  <si>
    <t>http://creativecommons.fr/licences/</t>
  </si>
  <si>
    <t>Bonus/malus du mélange</t>
  </si>
  <si>
    <t>Bonus/Malus</t>
  </si>
  <si>
    <t>Complémentarité</t>
  </si>
  <si>
    <t>classes</t>
  </si>
  <si>
    <t>&lt; 1.5</t>
  </si>
  <si>
    <t>1.5 &lt; x &lt; 2.5</t>
  </si>
  <si>
    <t>Complémentarité faible</t>
  </si>
  <si>
    <t>Complémentarité moyenne</t>
  </si>
  <si>
    <t>&gt; 2.5</t>
  </si>
  <si>
    <t>Complémentarité forte</t>
  </si>
  <si>
    <t>Mélanges pré-paramétrés</t>
  </si>
  <si>
    <t>Bonus/malus</t>
  </si>
  <si>
    <t>Mélange 53 kg de féverole + 18 kg lentille</t>
  </si>
  <si>
    <r>
      <t xml:space="preserve">Quels services recherchez-vous en particulier ? Renseigner </t>
    </r>
    <r>
      <rPr>
        <b/>
        <sz val="16"/>
        <color indexed="12"/>
        <rFont val="Calibri"/>
      </rPr>
      <t>les cases bleues</t>
    </r>
    <r>
      <rPr>
        <b/>
        <sz val="16"/>
        <color indexed="8"/>
        <rFont val="Calibri"/>
        <family val="2"/>
      </rPr>
      <t>.</t>
    </r>
  </si>
  <si>
    <t>Facultatif :  vous pouvez attribuer plus de poids aux services que vous recherchez le plus (max = 3).</t>
  </si>
  <si>
    <t>Echelle de valeurs des traits</t>
  </si>
  <si>
    <t>Agrégations intermédiaires</t>
  </si>
  <si>
    <t>Données renseignées par l'utilisateur</t>
  </si>
  <si>
    <t>Traits des plantes de services</t>
  </si>
  <si>
    <t>Colza_assoc_v13.6.dxi</t>
  </si>
  <si>
    <t>version des arbres</t>
  </si>
  <si>
    <t>Biomasse PS_v1.6.dxi</t>
  </si>
  <si>
    <t>Mélange vesce pourpre 6.4kg, vesce commune 9.6kg  et trèfle d'alexandrie 4 kg</t>
  </si>
  <si>
    <t>Mélange gesse 15 kg + fenugrec 10 kg + lentille 10kg</t>
  </si>
  <si>
    <t>Espèce en mélange ? Oui = 1; non=0</t>
  </si>
  <si>
    <t>Féverole (53kg)  + Lentille (18kg)</t>
  </si>
  <si>
    <t>Gesse (15kg) + Fenugrec (10kg) + Lentille (10kg)</t>
  </si>
  <si>
    <t>Vesce P. (6kg) + Vesce C. (10kg) + T. Alex. (4kg)</t>
  </si>
  <si>
    <t>Féverole (50kg) + vesce P. (12kg) + T. Alex. (4kg)</t>
  </si>
  <si>
    <t>Composition des mélanges</t>
  </si>
  <si>
    <t>Mon mélange</t>
  </si>
  <si>
    <t>Peu ou pas d'espèces nuisibles</t>
  </si>
  <si>
    <t>Présence d'espèces nuisibles mais bien gérées</t>
  </si>
  <si>
    <t>Présence d'espèces nuisibles et mal gérées</t>
  </si>
  <si>
    <t>≤ 3 ans</t>
  </si>
  <si>
    <r>
      <rPr>
        <sz val="11"/>
        <color indexed="8"/>
        <rFont val="Calibri"/>
        <family val="2"/>
      </rPr>
      <t>≤</t>
    </r>
    <r>
      <rPr>
        <sz val="11"/>
        <color theme="1"/>
        <rFont val="Calibri"/>
        <family val="2"/>
        <scheme val="minor"/>
      </rPr>
      <t xml:space="preserve"> 3 ans</t>
    </r>
  </si>
  <si>
    <t xml:space="preserve">espèce présente dans le mélange ? </t>
  </si>
  <si>
    <t>n° de l'espèce dans le mélange</t>
  </si>
  <si>
    <t>Cumul nb espèce dans le mélange</t>
  </si>
  <si>
    <t>ID espèce</t>
  </si>
  <si>
    <t>Taux de remplissage du mélange :</t>
  </si>
  <si>
    <t>Complémentarité des espèces en mélange :</t>
  </si>
  <si>
    <t>Espèce faiblement compétitrice, ne présentant à priori pas de risque de concurrence avec le colza</t>
  </si>
  <si>
    <t>Espèce très sensible, détruite avec les herbicides de pré/post-levée précoce</t>
  </si>
  <si>
    <t>Espèce peu sensible, résisstantes aux  herbicides de pré/post-levée précoce</t>
  </si>
  <si>
    <t>Sensibilité des plantes de services aux herbicides de pré/post-levée précoce *</t>
  </si>
  <si>
    <t>* par exemple : Novall, Alabama, Katamaran, etc.</t>
  </si>
  <si>
    <t>Aide à la constitution de mélange</t>
  </si>
  <si>
    <t>Avez-vous vu un intérêt au classement des espèces ? </t>
  </si>
  <si>
    <t>Avez-vous confiance dans les résultats délivrés ? </t>
  </si>
  <si>
    <t>Cet outil vous a-t'il permis de choisir vos espèces à associer ? </t>
  </si>
  <si>
    <t>Qu'auriez-vous souhaité voir de plus dans cet outil ? </t>
  </si>
  <si>
    <t xml:space="preserve">Donnez nous votre avis sur cet outil afin de l'améliorer. </t>
  </si>
  <si>
    <t>Merci de répondre à ces questions par courriel, à safia.mediene@inra.fr</t>
  </si>
  <si>
    <t>Avez-vous vu un intérêt à l'onglet "associer son colza" ? </t>
  </si>
  <si>
    <t>Avez-vous vu un intérêt à l'aide à la constitution de mélanges ? </t>
  </si>
  <si>
    <t>Suite à l'utilisation de cet outil, allez-vous associer votre colza ? </t>
  </si>
  <si>
    <t>Risque d'amplification de maladies pour d'autres cultures dans la rotation</t>
  </si>
  <si>
    <t>Sclerot.</t>
  </si>
  <si>
    <t>Description :</t>
  </si>
  <si>
    <t>Mode d'emploi :</t>
  </si>
  <si>
    <t>Contact (conception de l'outil) :</t>
  </si>
  <si>
    <t>Contacts (technique du colza associé) :</t>
  </si>
  <si>
    <t>Aphano.</t>
  </si>
  <si>
    <t>Phoma.</t>
  </si>
  <si>
    <t xml:space="preserve">Risque de maladies dans le mélange ? </t>
  </si>
  <si>
    <t>Maladies</t>
  </si>
  <si>
    <t>Maladie du mélange</t>
  </si>
  <si>
    <t>Aphano. Sclerot.</t>
  </si>
  <si>
    <t xml:space="preserve">Aphano. Sclerot. </t>
  </si>
  <si>
    <t xml:space="preserve">Mélanges proposés par défaut : </t>
  </si>
  <si>
    <t>Mélange féverole 50 kg + vesce P 6 kg + Trefle d'alexandrie 4 kg</t>
  </si>
  <si>
    <t>Espèce très compétitrice, pouvant concurrencer fortement le colza à l'automne</t>
  </si>
  <si>
    <t>Espèce moyennement compétitrice, présentant un risque faible de compétition avec le colza à l'automne</t>
  </si>
  <si>
    <t>La couleur de l'espèce indique sa compétitivité vis-à-vis du colza, dans vos conditions de parcelle.</t>
  </si>
  <si>
    <t>Evaluation de la biomasse de la plante de services à l'entrée de l'hiver</t>
  </si>
  <si>
    <t>Biomasse du couvert à l'entrée de l'hiver</t>
  </si>
  <si>
    <t>Etat de destruction du couvert à la sortie de l'hiver</t>
  </si>
  <si>
    <t>CAPS - Colza Associé à des Plantes de Services.</t>
  </si>
  <si>
    <t>Etat du couvert en hiver</t>
  </si>
  <si>
    <t>Avez-vous appris quelque chose en utilisant cet outil ? </t>
  </si>
  <si>
    <r>
      <t xml:space="preserve">1) Dans l'onglet </t>
    </r>
    <r>
      <rPr>
        <sz val="11"/>
        <color indexed="12"/>
        <rFont val="Calibri"/>
      </rPr>
      <t>"Associer son colza",</t>
    </r>
    <r>
      <rPr>
        <sz val="11"/>
        <color theme="1"/>
        <rFont val="Calibri"/>
        <family val="2"/>
        <scheme val="minor"/>
      </rPr>
      <t xml:space="preserve"> renseignez toutes les cases bleues. Une phrase vous indique alors si la parcelle convient ou non pour faire du colza associer. Des explications supplémentaires vous expliquent le cas échéant pourquoi cette parcelle ne convient pas. 
2) Dans l'onglet</t>
    </r>
    <r>
      <rPr>
        <sz val="11"/>
        <color indexed="12"/>
        <rFont val="Calibri"/>
      </rPr>
      <t xml:space="preserve"> "Données à renseigner"</t>
    </r>
    <r>
      <rPr>
        <sz val="11"/>
        <rFont val="Calibri"/>
        <family val="2"/>
      </rPr>
      <t xml:space="preserve">, renseignez les cases bleues.
3) Dans l'onglet </t>
    </r>
    <r>
      <rPr>
        <sz val="11"/>
        <color indexed="12"/>
        <rFont val="Calibri"/>
      </rPr>
      <t>"Services à renseigner"</t>
    </r>
    <r>
      <rPr>
        <sz val="11"/>
        <rFont val="Calibri"/>
        <family val="2"/>
      </rPr>
      <t>, renseignez les cases bleues. Par défaut, les 3 services les plus recherchés sont déjà renseignés.</t>
    </r>
    <r>
      <rPr>
        <sz val="11"/>
        <color theme="1"/>
        <rFont val="Calibri"/>
        <family val="2"/>
        <scheme val="minor"/>
      </rPr>
      <t xml:space="preserve">
4) Dans l'onglet </t>
    </r>
    <r>
      <rPr>
        <sz val="11"/>
        <color indexed="10"/>
        <rFont val="Calibri"/>
        <family val="2"/>
      </rPr>
      <t>"Résultats"</t>
    </r>
    <r>
      <rPr>
        <sz val="11"/>
        <color theme="1"/>
        <rFont val="Calibri"/>
        <family val="2"/>
        <scheme val="minor"/>
      </rPr>
      <t xml:space="preserve">, cliquez sur "Cliquer pour classer les espèces". Une macro est jouée et met à jour le graphique avec vos propres résultats. Les espèces sont classées de la plus performante à la moins performante sur la base des services que vous avez renseignés. 4 mélanges sont paramétrés par défaut en plus de 11 espèces plus ou moins couramment utilisées en association avec le colza. Les caractéristiques des espèces sont présentées dans l'onglet </t>
    </r>
    <r>
      <rPr>
        <sz val="11"/>
        <color indexed="17"/>
        <rFont val="Calibri"/>
        <family val="2"/>
      </rPr>
      <t>"Espèces"</t>
    </r>
    <r>
      <rPr>
        <sz val="11"/>
        <color theme="1"/>
        <rFont val="Calibri"/>
        <family val="2"/>
        <scheme val="minor"/>
      </rPr>
      <t xml:space="preserve">. 
5) Toujours dans l'onglet </t>
    </r>
    <r>
      <rPr>
        <sz val="11"/>
        <color indexed="10"/>
        <rFont val="Calibri"/>
        <family val="2"/>
      </rPr>
      <t>"Résultats"</t>
    </r>
    <r>
      <rPr>
        <sz val="11"/>
        <color theme="1"/>
        <rFont val="Calibri"/>
        <family val="2"/>
        <scheme val="minor"/>
      </rPr>
      <t xml:space="preserve">, vous avez la possibilité de simuler les performances d'un mélange. Pour cela, composez un mélange en indiquant une dose de semis au bout de la ligne des espèces que vous souhaitez assembler. Cliquez à nouveau sur le bouton "Cliquer pour classer les espèces" pour classer votre mélange parmi les espèces. Vous pouvez modifier la composition du mélange et classer les espèces autant de fois que souhaité.  
6) Pour aller plus loin et comprendre les relations entre les caractéristiques des espèces et leurs performances pour les différents services, ouvrez le fichier "dexi-visu". Copier l'onglet "exporter" de ce fichier dans la page "options" du fichier "dexi visu". Dans l'onglet "notice", cliquez et indiquez "7" dans la boite de commande qui s'affiche. Des onglets sont créés pour chaque espèce. Ces tableaux vous montrent les étapes successives d'agrégations qui conduisent à la note finale par service. Il est possible de comparer deux espèces et de voir quelles caractéristiques expliquent des différences de performances. De la même manière, il est possible de comprendre pourquoi deux espèces présentant des caractéristiques différentes se retrouvent avec les mêmes performances. 
7) Afin de faire progresser cet outil, merci de prendre le temps de nous donner votre avis, consultez le dernier onglet "Votre avis". Merci d'avance pour votre contribution. </t>
    </r>
  </si>
  <si>
    <t>Safia Médiène, enseignant-chercheur AgroParisTech. UMR Agronomie INRA de Versailles-Grignon (safia.mediene@inra.fr)
Coordination du projet : Muriel Valantin-Morison, directrice de Recherche. UMR Agronomie INRA de Versailles-Grignon (muriel.morison@inra.fr)</t>
  </si>
  <si>
    <r>
      <rPr>
        <b/>
        <sz val="12"/>
        <rFont val="Calibri"/>
      </rPr>
      <t>Densité de semis</t>
    </r>
    <r>
      <rPr>
        <sz val="12"/>
        <rFont val="Calibri"/>
      </rPr>
      <t xml:space="preserve"> de l'ensemble des espèces en mélange : 
(se rapprocher de 100%)</t>
    </r>
  </si>
  <si>
    <r>
      <t xml:space="preserve">Choisir des espèces aux </t>
    </r>
    <r>
      <rPr>
        <b/>
        <sz val="12"/>
        <color indexed="8"/>
        <rFont val="Calibri"/>
        <family val="2"/>
      </rPr>
      <t>traits complémentaires</t>
    </r>
    <r>
      <rPr>
        <sz val="12"/>
        <color indexed="8"/>
        <rFont val="Calibri"/>
        <family val="2"/>
      </rPr>
      <t xml:space="preserve"> 
pour obtenir une forte complémentarité des espèces associées</t>
    </r>
  </si>
  <si>
    <t>Chaque tronçon du graphe ci-dessus représente un service.</t>
  </si>
  <si>
    <t>Destruction de la plante de services à la sortie de l'hiver</t>
  </si>
  <si>
    <r>
      <rPr>
        <u/>
        <sz val="18"/>
        <color indexed="8"/>
        <rFont val="Calibri"/>
      </rPr>
      <t>Classement des espèces</t>
    </r>
    <r>
      <rPr>
        <sz val="18"/>
        <color indexed="8"/>
        <rFont val="Calibri"/>
      </rPr>
      <t xml:space="preserve">
selon vos objectifs et vos conditions de parcelle </t>
    </r>
  </si>
  <si>
    <t xml:space="preserve">Risques liés aux maladies : </t>
  </si>
  <si>
    <t>Appétence pour les limaces :</t>
  </si>
  <si>
    <t xml:space="preserve">Résistance à la sécheresse : </t>
  </si>
  <si>
    <t>Sensibilité au gel :</t>
  </si>
  <si>
    <t xml:space="preserve">PMG : </t>
  </si>
  <si>
    <t>350 à 700 g</t>
  </si>
  <si>
    <t>Nombre de pieds :</t>
  </si>
  <si>
    <t>10-20 gr/m2</t>
  </si>
  <si>
    <t xml:space="preserve">Densité au semis en plus du colza : </t>
  </si>
  <si>
    <t>75 à 150 kg/ha selon PMG</t>
  </si>
  <si>
    <t xml:space="preserve">Coût de semences : </t>
  </si>
  <si>
    <t>41 à 55 euros/ha (semences de ferme)</t>
  </si>
  <si>
    <t>sensible à l'aphanomycès</t>
  </si>
  <si>
    <t>Croissance capricieuse, uniquement dans de bonnes conditions (sol frais, ni trop sec ni trop humide et pas acide)</t>
  </si>
  <si>
    <t>2 à 3 g</t>
  </si>
  <si>
    <t>15 à 25Kg/ha</t>
  </si>
  <si>
    <t>35 euros/ha</t>
  </si>
  <si>
    <t>Sensible à l'aphanomycès et au sclérotinia</t>
  </si>
  <si>
    <t>180 g</t>
  </si>
  <si>
    <t>70 à 100 kg/ha</t>
  </si>
  <si>
    <t>80 à 100 euros/ha</t>
  </si>
  <si>
    <r>
      <rPr>
        <b/>
        <sz val="11"/>
        <color indexed="8"/>
        <rFont val="Calibri"/>
        <family val="2"/>
      </rPr>
      <t>Avantages</t>
    </r>
    <r>
      <rPr>
        <sz val="11"/>
        <color theme="1"/>
        <rFont val="Calibri"/>
        <family val="2"/>
        <scheme val="minor"/>
      </rPr>
      <t xml:space="preserve"> :</t>
    </r>
  </si>
  <si>
    <t>Forte production de biomasse,  bonne capacité à fixer de l'azote
Enracinement très performant, permet une bonne structuration du sol.
Bonne conduite en mélange, sert de tuteur aux autres plantes.</t>
  </si>
  <si>
    <r>
      <rPr>
        <b/>
        <sz val="11"/>
        <color indexed="8"/>
        <rFont val="Calibri"/>
        <family val="2"/>
      </rPr>
      <t>Inconvénients</t>
    </r>
    <r>
      <rPr>
        <sz val="11"/>
        <color theme="1"/>
        <rFont val="Calibri"/>
        <family val="2"/>
        <scheme val="minor"/>
      </rPr>
      <t xml:space="preserve"> : </t>
    </r>
  </si>
  <si>
    <t xml:space="preserve">Grosses graines : nécessite du matériel adapté (bien recouvrir les graines au semis) et une manutention plus importante (grosse quantité de semences).
Coûteux si acheté.
</t>
  </si>
  <si>
    <t>Risque de sclérotinia, sensible à l'anthracnose, résistant à l'aphanomycès.</t>
  </si>
  <si>
    <t xml:space="preserve">Bonne capacité à fixer l'azote
Implantation facile, bon recouvrement du sol
</t>
  </si>
  <si>
    <t xml:space="preserve">Implantation facile
Forte production de biomasse,  bonne capacité à fixer de l'azote et à le restituer
</t>
  </si>
  <si>
    <t>Plante aggressive qui peut retomber sur le colza et l'étouffer pendant l'hiver 
Ne se développe pas dans des conditions trop sèches ou trop humides</t>
  </si>
  <si>
    <r>
      <t xml:space="preserve">Résistance aux herbicides sur colza (Novall, Alabama, ...) : </t>
    </r>
    <r>
      <rPr>
        <b/>
        <sz val="11"/>
        <color indexed="10"/>
        <rFont val="Calibri"/>
      </rPr>
      <t>Faible</t>
    </r>
  </si>
  <si>
    <r>
      <t xml:space="preserve">Résistance aux herbicides sur colza (Novall, Alabama, ...) : </t>
    </r>
    <r>
      <rPr>
        <b/>
        <sz val="11"/>
        <color indexed="57"/>
        <rFont val="Calibri"/>
      </rPr>
      <t>Forte</t>
    </r>
  </si>
  <si>
    <r>
      <t xml:space="preserve">Résistance aux herbicides sur colza (Novall, Alabama, ...) : </t>
    </r>
    <r>
      <rPr>
        <b/>
        <sz val="11"/>
        <color indexed="51"/>
        <rFont val="Calibri"/>
      </rPr>
      <t>Moyen</t>
    </r>
  </si>
  <si>
    <t xml:space="preserve">Gel fréquent et plutôt fort (-8°C). </t>
  </si>
  <si>
    <t>26/08 - 31/08</t>
  </si>
  <si>
    <t>Les espèces précoces à forte nuisibilité sur colza sont-elles présentes dans votre parcelle ? (ex : geranium, gaillet, matricaire, ...)</t>
  </si>
  <si>
    <r>
      <t xml:space="preserve">L'objectif de rendement de la culture précédente a-t-il été atteint ? (l'objectif est considéré comme non atteint s'il est réduit de 10 </t>
    </r>
    <r>
      <rPr>
        <sz val="12"/>
        <color theme="1"/>
        <rFont val="Calibri"/>
        <family val="2"/>
      </rPr>
      <t>-</t>
    </r>
    <r>
      <rPr>
        <sz val="12"/>
        <color theme="1"/>
        <rFont val="Calibri"/>
        <family val="2"/>
        <scheme val="minor"/>
      </rPr>
      <t xml:space="preserve"> 20 %, soit une perte de 10 quintaux en culture de blé, par exemple)</t>
    </r>
  </si>
  <si>
    <r>
      <rPr>
        <b/>
        <sz val="11"/>
        <color rgb="FFFF0000"/>
        <rFont val="Calibri"/>
        <family val="2"/>
        <scheme val="minor"/>
      </rPr>
      <t>Faible</t>
    </r>
    <r>
      <rPr>
        <sz val="11"/>
        <color theme="1"/>
        <rFont val="Calibri"/>
        <family val="2"/>
        <scheme val="minor"/>
      </rPr>
      <t xml:space="preserve"> : -8 à -10°C</t>
    </r>
  </si>
  <si>
    <r>
      <rPr>
        <b/>
        <sz val="11"/>
        <color theme="7"/>
        <rFont val="Calibri"/>
        <family val="2"/>
        <scheme val="minor"/>
      </rPr>
      <t>Moyen</t>
    </r>
    <r>
      <rPr>
        <sz val="11"/>
        <color theme="1"/>
        <rFont val="Calibri"/>
        <family val="2"/>
        <scheme val="minor"/>
      </rPr>
      <t xml:space="preserve"> : -4 à -7°C</t>
    </r>
  </si>
  <si>
    <r>
      <rPr>
        <b/>
        <sz val="11"/>
        <color theme="7"/>
        <rFont val="Calibri"/>
        <family val="2"/>
        <scheme val="minor"/>
      </rPr>
      <t>Moyenne</t>
    </r>
    <r>
      <rPr>
        <sz val="11"/>
        <color theme="1"/>
        <rFont val="Calibri"/>
        <family val="2"/>
        <scheme val="minor"/>
      </rPr>
      <t xml:space="preserve"> : -5 à -7°C</t>
    </r>
  </si>
  <si>
    <t>Sclérot.</t>
  </si>
  <si>
    <r>
      <t>Répondre aux 3 volets (renseigner</t>
    </r>
    <r>
      <rPr>
        <b/>
        <sz val="16"/>
        <color rgb="FF00B0F0"/>
        <rFont val="Calibri"/>
        <family val="2"/>
        <scheme val="minor"/>
      </rPr>
      <t xml:space="preserve"> </t>
    </r>
    <r>
      <rPr>
        <b/>
        <sz val="16"/>
        <color rgb="FF00B0F0"/>
        <rFont val="Calibri"/>
        <family val="2"/>
      </rPr>
      <t>les cases BLEUES</t>
    </r>
    <r>
      <rPr>
        <b/>
        <sz val="16"/>
        <color indexed="8"/>
        <rFont val="Calibri"/>
        <family val="2"/>
      </rPr>
      <t xml:space="preserve"> à l'aide des choix qui vous sont proposés)</t>
    </r>
  </si>
  <si>
    <t>Lin de printemps (graine)</t>
  </si>
  <si>
    <t>Nyger</t>
  </si>
  <si>
    <t xml:space="preserve">Sclerot. </t>
  </si>
  <si>
    <t>Cameline</t>
  </si>
  <si>
    <t>Tournesol</t>
  </si>
  <si>
    <t>Avoine noire</t>
  </si>
  <si>
    <t>Pois protéagineux</t>
  </si>
  <si>
    <t>NC</t>
  </si>
  <si>
    <t>Avoine rude</t>
  </si>
  <si>
    <t>Navette fourragere</t>
  </si>
  <si>
    <t>Luzerne</t>
  </si>
  <si>
    <t>50 €</t>
  </si>
  <si>
    <t>Nouvelle espece</t>
  </si>
  <si>
    <t>Bonne capacité à fixer l'azote
Structure bien le sol
Plante odorante repoussant les insectes ravageurs</t>
  </si>
  <si>
    <r>
      <t xml:space="preserve">Résistance aux herbicides sur colza (Novall, Alabama, ...) : </t>
    </r>
    <r>
      <rPr>
        <b/>
        <sz val="11"/>
        <color theme="9"/>
        <rFont val="Calibri"/>
        <family val="2"/>
        <scheme val="minor"/>
      </rPr>
      <t>Forte</t>
    </r>
  </si>
  <si>
    <t>Semences peu courantes
Craint les sols battants et asphyxiants
Son odeur attire le gibier</t>
  </si>
  <si>
    <r>
      <t xml:space="preserve">Moyenne : </t>
    </r>
    <r>
      <rPr>
        <sz val="11"/>
        <rFont val="Calibri"/>
        <family val="2"/>
        <scheme val="minor"/>
      </rPr>
      <t>-5 à -7°C</t>
    </r>
  </si>
  <si>
    <t>16g</t>
  </si>
  <si>
    <t>27 Kg/ha</t>
  </si>
  <si>
    <t>50 euros/ha</t>
  </si>
  <si>
    <t>Phacélie</t>
  </si>
  <si>
    <t>Forte capacité de mobilisation de l'azote
Famille botanique différente de celles généralement cultivées
Plante mellifère attirant les insectes auxiliaires</t>
  </si>
  <si>
    <t>Coût de semences variable
Peut être concurrentielle pour la culture suivante
Attire certains ravageurs de culture comme les pucerons</t>
  </si>
  <si>
    <t>Vecteur du sclérotinia</t>
  </si>
  <si>
    <t>30 euros/ha</t>
  </si>
  <si>
    <t>2g</t>
  </si>
  <si>
    <r>
      <t xml:space="preserve">Résistance aux herbicides sur colza (Novall, Alabama, ...) : </t>
    </r>
    <r>
      <rPr>
        <b/>
        <sz val="11"/>
        <color theme="7"/>
        <rFont val="Calibri"/>
        <family val="2"/>
        <scheme val="minor"/>
      </rPr>
      <t>Moyenne</t>
    </r>
  </si>
  <si>
    <r>
      <rPr>
        <b/>
        <sz val="11"/>
        <color theme="7"/>
        <rFont val="Calibri"/>
        <family val="2"/>
        <scheme val="minor"/>
      </rPr>
      <t>Moyenne :</t>
    </r>
    <r>
      <rPr>
        <sz val="11"/>
        <color theme="1"/>
        <rFont val="Calibri"/>
        <family val="2"/>
        <scheme val="minor"/>
      </rPr>
      <t xml:space="preserve"> -5 à -8°C</t>
    </r>
  </si>
  <si>
    <t>170g</t>
  </si>
  <si>
    <t>Bonne capacité à fixer l'azote
Suporte tout type de terrain
Structure bien le sol</t>
  </si>
  <si>
    <r>
      <rPr>
        <b/>
        <sz val="11"/>
        <color theme="7"/>
        <rFont val="Calibri"/>
        <family val="2"/>
        <scheme val="minor"/>
      </rPr>
      <t>Moyenne :</t>
    </r>
    <r>
      <rPr>
        <sz val="11"/>
        <color theme="1"/>
        <rFont val="Calibri"/>
        <family val="2"/>
        <scheme val="minor"/>
      </rPr>
      <t xml:space="preserve"> -5 à -7°C</t>
    </r>
  </si>
  <si>
    <t>65 euros/ha</t>
  </si>
  <si>
    <t>36 Kg/ha</t>
  </si>
  <si>
    <t>7 Kg/ha</t>
  </si>
  <si>
    <t>Grosses graines : nécessite du matériel adapté
mélange avec les autres plantes difficile
Plante toxique déconseillée en élevage</t>
  </si>
  <si>
    <t>Facile à semer et lève rapidement
Plante mellifère attirant les insectes auxiliaires
Bonne capacité allélopathique</t>
  </si>
  <si>
    <t>Peut être concurentielle pour la culture suivante
Craint la sécheresse en début de cycle</t>
  </si>
  <si>
    <t>Risque de sclérotinia</t>
  </si>
  <si>
    <r>
      <rPr>
        <b/>
        <sz val="11"/>
        <color rgb="FFFF0000"/>
        <rFont val="Calibri"/>
        <family val="2"/>
        <scheme val="minor"/>
      </rPr>
      <t>Faible</t>
    </r>
    <r>
      <rPr>
        <sz val="11"/>
        <color theme="1"/>
        <rFont val="Calibri"/>
        <family val="2"/>
        <scheme val="minor"/>
      </rPr>
      <t xml:space="preserve"> : à partir de -10°C</t>
    </r>
  </si>
  <si>
    <t>Résistance aux herbicides sur colza (Novall, Alabama, ...) : NC</t>
  </si>
  <si>
    <t>1,3g</t>
  </si>
  <si>
    <t>3 Kg/ha</t>
  </si>
  <si>
    <t>20 euros/ha</t>
  </si>
  <si>
    <t>Lentille fourragère</t>
  </si>
  <si>
    <t>Navette</t>
  </si>
  <si>
    <t>Semences peu coûteuse
Bonne structuration du sol
Permet de mobiliser du phosphore
Offre un bon tuteur pour les autres plantes en mélange
Plantes attractives pour les auxiliaires de culture</t>
  </si>
  <si>
    <t>Peut être difficile à détruire même par le broyage</t>
  </si>
  <si>
    <t>Sensible aux maladies</t>
  </si>
  <si>
    <t>Trèfle blanc nain</t>
  </si>
  <si>
    <t xml:space="preserve">Semis et implantation faciles
Adapté aux conditions climatiques chaudes et sèches 
Bonne qualité fourragère
</t>
  </si>
  <si>
    <t>Plante compétitrice pour l'eau et les éléments minéraux
sensible à la compaction des sols et à l'asphyxie
Destruction difficile</t>
  </si>
  <si>
    <t>Semis facile
Forte structuration du sol
Bonne capacité d'azote 
résiste à la chaleur et à la sécheresse</t>
  </si>
  <si>
    <t>Semences coûteuses
Plante exigeante en potasse et en calcium
Difficile à détruire</t>
  </si>
  <si>
    <t xml:space="preserve">Peut être difficile à détruire </t>
  </si>
  <si>
    <r>
      <t xml:space="preserve">Résistance aux herbicides sur colza (Novall, Alabama, ...) : </t>
    </r>
    <r>
      <rPr>
        <b/>
        <sz val="11"/>
        <color theme="7"/>
        <rFont val="Calibri"/>
        <family val="2"/>
        <scheme val="minor"/>
      </rPr>
      <t>Moyen</t>
    </r>
  </si>
  <si>
    <t>Bonne capacité à fixer l'azote
Facile à semer 
Bonne couverture du sol</t>
  </si>
  <si>
    <t xml:space="preserve">20g </t>
  </si>
  <si>
    <r>
      <rPr>
        <b/>
        <sz val="11"/>
        <color theme="7"/>
        <rFont val="Calibri"/>
        <family val="2"/>
        <scheme val="minor"/>
      </rPr>
      <t>Moyenne :</t>
    </r>
    <r>
      <rPr>
        <sz val="11"/>
        <color theme="1"/>
        <rFont val="Calibri"/>
        <family val="2"/>
        <scheme val="minor"/>
      </rPr>
      <t xml:space="preserve"> -7°C</t>
    </r>
  </si>
  <si>
    <t>55 euros/ha</t>
  </si>
  <si>
    <t>36Kg/ha</t>
  </si>
  <si>
    <t>Germination et croissance rapide
Bonne couverture et bonne structuration du sol
Grande capacité à capter l'azote</t>
  </si>
  <si>
    <t>Espèce très compétitive, elle absorbe tous les nutriments disponible dans le sol
Peut être difficile à détruire</t>
  </si>
  <si>
    <t xml:space="preserve">Retour en haut de page </t>
  </si>
  <si>
    <r>
      <t xml:space="preserve">Faible : </t>
    </r>
    <r>
      <rPr>
        <sz val="11"/>
        <rFont val="Calibri"/>
        <family val="2"/>
        <scheme val="minor"/>
      </rPr>
      <t>-8 à -13°C</t>
    </r>
  </si>
  <si>
    <t>3,9g</t>
  </si>
  <si>
    <t>6Kg/ha</t>
  </si>
  <si>
    <t>Semence facile et peu coûteuse 
Supporte tout type de terrain
Permet une protection du sol de longue durée et une production d'humus stable</t>
  </si>
  <si>
    <t>Plante hôte des pucerons
Peut gêner le reprise du sol au printemps</t>
  </si>
  <si>
    <r>
      <rPr>
        <b/>
        <sz val="11"/>
        <color rgb="FFFF0000"/>
        <rFont val="Calibri"/>
        <family val="2"/>
        <scheme val="minor"/>
      </rPr>
      <t xml:space="preserve">Faible </t>
    </r>
    <r>
      <rPr>
        <sz val="11"/>
        <color theme="1"/>
        <rFont val="Calibri"/>
        <family val="2"/>
        <scheme val="minor"/>
      </rPr>
      <t>: -10°C</t>
    </r>
  </si>
  <si>
    <r>
      <t xml:space="preserve">Résistance aux herbicides sur colza (Novall, Alabama, ...) : </t>
    </r>
    <r>
      <rPr>
        <b/>
        <sz val="11"/>
        <color rgb="FFFF0000"/>
        <rFont val="Calibri"/>
        <family val="2"/>
        <scheme val="minor"/>
      </rPr>
      <t>Faible</t>
    </r>
  </si>
  <si>
    <t>16,9g</t>
  </si>
  <si>
    <t>65Kg/ha</t>
  </si>
  <si>
    <t>36,1g</t>
  </si>
  <si>
    <t>30Kg/ha</t>
  </si>
  <si>
    <t>70 euros/ha</t>
  </si>
  <si>
    <t xml:space="preserve">Levée facile
Plante rustique, supporte tout type de sol
Peu gourmande en eau et éléments minéraux
Structure bien le sol
Bonne qualité fourragère
</t>
  </si>
  <si>
    <t>Décomposition lente, peut entrainer des faims d'azote
Détruite par le gel, elle maintient le sol humide ce qui peut compliquer les reprises
Plante hôte des pucerons</t>
  </si>
  <si>
    <t>Risque de sclérotinia, peu sensible à la rouille</t>
  </si>
  <si>
    <r>
      <rPr>
        <b/>
        <sz val="11"/>
        <color rgb="FFFF0000"/>
        <rFont val="Calibri"/>
        <family val="2"/>
        <scheme val="minor"/>
      </rPr>
      <t xml:space="preserve">Faible : </t>
    </r>
    <r>
      <rPr>
        <sz val="11"/>
        <color theme="1"/>
        <rFont val="Calibri"/>
        <family val="2"/>
        <scheme val="minor"/>
      </rPr>
      <t>-10°C</t>
    </r>
  </si>
  <si>
    <r>
      <t>Résistance aux herbicides sur colza (Novall, Alabama, ...) :</t>
    </r>
    <r>
      <rPr>
        <b/>
        <sz val="11"/>
        <color theme="1"/>
        <rFont val="Calibri"/>
        <family val="2"/>
        <scheme val="minor"/>
      </rPr>
      <t xml:space="preserve"> </t>
    </r>
    <r>
      <rPr>
        <b/>
        <sz val="11"/>
        <color rgb="FFFF0000"/>
        <rFont val="Calibri"/>
        <family val="2"/>
        <scheme val="minor"/>
      </rPr>
      <t>Faible</t>
    </r>
  </si>
  <si>
    <t>47,3g</t>
  </si>
  <si>
    <t>Graine légère, nécessite du matériel adapté
Couverture du sol faible, faible concurrence avec les adventices
Attire les pigeons</t>
  </si>
  <si>
    <r>
      <rPr>
        <b/>
        <sz val="11"/>
        <color theme="9"/>
        <rFont val="Calibri"/>
        <family val="2"/>
        <scheme val="minor"/>
      </rPr>
      <t>Forte :</t>
    </r>
    <r>
      <rPr>
        <sz val="11"/>
        <color theme="1"/>
        <rFont val="Calibri"/>
        <family val="2"/>
        <scheme val="minor"/>
      </rPr>
      <t xml:space="preserve"> 0 à -2°C</t>
    </r>
  </si>
  <si>
    <t>25 Kg/ha</t>
  </si>
  <si>
    <t>Facile à , supporte les conditions climatiques sèches
Couverture et structuration du sol efficace
Destruction facile
Pouvoir allélopathique des résidus permettant de garder une parcelle propre</t>
  </si>
  <si>
    <t>Plante non adaptée aux sols calcaires
Couverture du sol moyen, faible concurrence avec les adventices
Très sensible au gel, il ne pourra pas rendre beaucoup de services s'il est semée trop tardivement</t>
  </si>
  <si>
    <t>3,2g</t>
  </si>
  <si>
    <t>9Kg/ha</t>
  </si>
  <si>
    <t>Semences peu coûteuses
Supporte les conditions climatiques chaudes et seches
Peut servir de tuteur aux autres plante en mélange
Effet "suicide" sur l'orobanche qui germe à son contact et meurent en même temps que le lin</t>
  </si>
  <si>
    <t>Lin graine de printemps</t>
  </si>
  <si>
    <r>
      <rPr>
        <b/>
        <sz val="12"/>
        <color theme="9"/>
        <rFont val="Calibri"/>
        <scheme val="minor"/>
      </rPr>
      <t>Forte :</t>
    </r>
    <r>
      <rPr>
        <sz val="12"/>
        <color theme="1"/>
        <rFont val="Calibri"/>
        <family val="2"/>
        <scheme val="minor"/>
      </rPr>
      <t xml:space="preserve"> 0 à -5°C</t>
    </r>
  </si>
  <si>
    <t>5,4g</t>
  </si>
  <si>
    <r>
      <t>Résistance aux herbicides sur colza (Novall, Alabama, ...) :</t>
    </r>
    <r>
      <rPr>
        <sz val="11"/>
        <color theme="9"/>
        <rFont val="Calibri"/>
        <family val="2"/>
        <scheme val="minor"/>
      </rPr>
      <t xml:space="preserve"> Forte</t>
    </r>
  </si>
  <si>
    <t>16Kg/ha</t>
  </si>
  <si>
    <t>Plante rustique, résiste aux conditions climatiques sèches 
Rapide d'installation, bonne structuration du sol
Plante méllifère attirant les auxiliaires de culture
Permet de mobiliser du phosphore et du calcium</t>
  </si>
  <si>
    <t>Coût de semences important
Faible structuration du sol
Risque de montée en graine si semis trop précoce
Floraison indéterminée</t>
  </si>
  <si>
    <t xml:space="preserve">Moyenne </t>
  </si>
  <si>
    <r>
      <t xml:space="preserve">Résistance aux herbicides sur colza (Novall, Alabama, ...) : </t>
    </r>
    <r>
      <rPr>
        <sz val="11"/>
        <color theme="7"/>
        <rFont val="Calibri"/>
        <family val="2"/>
        <scheme val="minor"/>
      </rPr>
      <t>Moyenne</t>
    </r>
  </si>
  <si>
    <t>21,5g</t>
  </si>
  <si>
    <t>80 euros/ha</t>
  </si>
  <si>
    <t>Semis facile, bonne structuration du sol
Forte production d'azote
Plante rustique résistant aux maladies et aux insectes
Plante attractive pour les auxiliaires de culture</t>
  </si>
  <si>
    <t>Coût de semence élevé
Nécessité de recouvrir les graines au semis
Parfois interdit par la réglementation (Directives nitrates) ou Contrats environnementaux (MAE, …)
Très compétitrice pour les éléments minéraux et l'azote</t>
  </si>
  <si>
    <r>
      <rPr>
        <b/>
        <sz val="11"/>
        <color rgb="FFFF0000"/>
        <rFont val="Calibri"/>
        <family val="2"/>
        <scheme val="minor"/>
      </rPr>
      <t>Faible :</t>
    </r>
    <r>
      <rPr>
        <sz val="11"/>
        <color theme="1"/>
        <rFont val="Calibri"/>
        <family val="2"/>
        <scheme val="minor"/>
      </rPr>
      <t xml:space="preserve"> de -5 à -10°C</t>
    </r>
  </si>
  <si>
    <t>30 à 75g</t>
  </si>
  <si>
    <t>33Kg/ha</t>
  </si>
  <si>
    <t>40,9g</t>
  </si>
  <si>
    <t>Bonne capacité à fixer et à restituer de l'azote
Plantes adaptée aux sols pauvres et arides</t>
  </si>
  <si>
    <r>
      <t>Résistance aux herbicides sur colza (Novall, Alabama, ...) :</t>
    </r>
    <r>
      <rPr>
        <b/>
        <sz val="11"/>
        <color theme="7"/>
        <rFont val="Calibri"/>
        <family val="2"/>
        <scheme val="minor"/>
      </rPr>
      <t xml:space="preserve"> Moyenne</t>
    </r>
  </si>
  <si>
    <t>85 euros/ha</t>
  </si>
  <si>
    <t>0,5g</t>
  </si>
  <si>
    <r>
      <rPr>
        <b/>
        <sz val="11"/>
        <color rgb="FFFF0000"/>
        <rFont val="Calibri"/>
        <family val="2"/>
        <scheme val="minor"/>
      </rPr>
      <t>Très faible :</t>
    </r>
    <r>
      <rPr>
        <sz val="11"/>
        <color theme="1"/>
        <rFont val="Calibri"/>
        <family val="2"/>
        <scheme val="minor"/>
      </rPr>
      <t xml:space="preserve"> -15°C</t>
    </r>
  </si>
  <si>
    <t>4Kg/ha</t>
  </si>
  <si>
    <t>45 euros/ha</t>
  </si>
  <si>
    <r>
      <rPr>
        <b/>
        <sz val="11"/>
        <color rgb="FFFF0000"/>
        <rFont val="Calibri"/>
        <family val="2"/>
        <scheme val="minor"/>
      </rPr>
      <t>Très faible :</t>
    </r>
    <r>
      <rPr>
        <sz val="11"/>
        <color theme="1"/>
        <rFont val="Calibri"/>
        <family val="2"/>
        <scheme val="minor"/>
      </rPr>
      <t xml:space="preserve"> 15°C</t>
    </r>
  </si>
  <si>
    <t>17Kg/ha</t>
  </si>
  <si>
    <t>10 euros/ha</t>
  </si>
  <si>
    <t>1,5g</t>
  </si>
  <si>
    <r>
      <rPr>
        <b/>
        <sz val="11"/>
        <color theme="9"/>
        <rFont val="Calibri"/>
        <family val="2"/>
        <scheme val="minor"/>
      </rPr>
      <t>Forte :</t>
    </r>
    <r>
      <rPr>
        <sz val="11"/>
        <color theme="1"/>
        <rFont val="Calibri"/>
        <family val="2"/>
        <scheme val="minor"/>
      </rPr>
      <t xml:space="preserve"> 0 à -4°C</t>
    </r>
  </si>
  <si>
    <t>125Kg/ha</t>
  </si>
  <si>
    <t>100 euros/ha</t>
  </si>
  <si>
    <t>200g</t>
  </si>
  <si>
    <t xml:space="preserve">Note des concepteurs : Cet onglet n'est volontairement pas verrouillé. Il vous permet de modifier les caractéristiques des espèces si vous souhaitez étudier leurs influences sur la production des différents services, ou bien si vous n'êtes pas d'accord avec l'information rapportée dans ce tableau. La modification de tableau et la diffusion des résultats issus de l'outil après modification de ce tableau sont de votre propre responsabilité. Charge à vous de ne pas enregistrer le fichier après modificiation de ce tableau. Vous avez la possibilité de paramétrer une nouvelle espèce (dernière colonne du tableau). </t>
  </si>
  <si>
    <t>Cet outil a pour objectif de synthétiser les connaissances existantes sur les pratiques d'association du colza d'hiver à des plantes de services. Il s'adresse aussi bien aux agriculteurs qu'à leurs conseillers, aux étudiants qu'à leurs enseignants dans les formations en agriculture. Cet outil permet de : 
     1. Vérifier si la pratique du colza associé est réalisable sur la parcelle de l'utilisateur ; 
     2. Identifier les espèces les plus performantes pour les services recherchés par l'utilisateur dans son contexte (11 espèces incluses dans l'outil) ;
     3. Simuler les services rendus par un mélange d'espèces de plantes de services. 
     4. Comprendre les relations entre les caractéristiques des espèces, les conditions de la parcelle et la réalisation des processus à l'origine des services rendus par l'association. 
L'outil est paramétré pour une utilisation en France métropolitaine.</t>
  </si>
  <si>
    <r>
      <rPr>
        <b/>
        <u/>
        <sz val="14"/>
        <color rgb="FFFF0000"/>
        <rFont val="Calibri"/>
        <scheme val="minor"/>
      </rPr>
      <t>Mise en garde :</t>
    </r>
    <r>
      <rPr>
        <sz val="14"/>
        <color theme="1"/>
        <rFont val="Calibri"/>
        <family val="2"/>
        <scheme val="minor"/>
      </rPr>
      <t xml:space="preserve"> </t>
    </r>
    <r>
      <rPr>
        <sz val="14"/>
        <rFont val="Calibri"/>
        <scheme val="minor"/>
      </rPr>
      <t>Comme tous les outils, celui-ci utilise un modèle qui n'est qu'une simplification de la réalité. Il n'a pas la prétention de prédire et d'identifier LA meilleure espèce à associer au colza dans votre parcelle. L'objectif est plutôt de vous permettre d'identifier un panel restreint d'espèces candidates à tester pour vos premiers pas dans cette technique, et d'éviter les écueils liés au test d'espèces non appropriées.</t>
    </r>
  </si>
  <si>
    <r>
      <t xml:space="preserve">Cet outil est divisé en 4 onglets accessibles à l'utilisateur : 
- Vérifiez si la pratique du colza associé peut être envisagée dans votre contexte grâce à l'onglet </t>
    </r>
    <r>
      <rPr>
        <sz val="11"/>
        <color indexed="48"/>
        <rFont val="Calibri"/>
      </rPr>
      <t>"Associer son colza"</t>
    </r>
    <r>
      <rPr>
        <sz val="11"/>
        <color theme="1"/>
        <rFont val="Calibri"/>
        <family val="2"/>
        <scheme val="minor"/>
      </rPr>
      <t xml:space="preserve">.
- Décrivrez précisément votre parcelle dans l'onglet </t>
    </r>
    <r>
      <rPr>
        <sz val="11"/>
        <color indexed="12"/>
        <rFont val="Calibri"/>
      </rPr>
      <t>"Données à renseigner"</t>
    </r>
    <r>
      <rPr>
        <sz val="11"/>
        <rFont val="Calibri"/>
        <family val="2"/>
      </rPr>
      <t>.</t>
    </r>
    <r>
      <rPr>
        <sz val="11"/>
        <color theme="1"/>
        <rFont val="Calibri"/>
        <family val="2"/>
        <scheme val="minor"/>
      </rPr>
      <t xml:space="preserve">
- Sélectionnez les services que vous recherchez dans l'onglet</t>
    </r>
    <r>
      <rPr>
        <sz val="11"/>
        <color indexed="15"/>
        <rFont val="Calibri"/>
        <family val="2"/>
      </rPr>
      <t xml:space="preserve"> </t>
    </r>
    <r>
      <rPr>
        <sz val="11"/>
        <color indexed="12"/>
        <rFont val="Calibri"/>
      </rPr>
      <t>"Services à renseigner"</t>
    </r>
    <r>
      <rPr>
        <sz val="11"/>
        <rFont val="Calibri"/>
        <family val="2"/>
      </rPr>
      <t>.</t>
    </r>
    <r>
      <rPr>
        <sz val="11"/>
        <color theme="1"/>
        <rFont val="Calibri"/>
        <family val="2"/>
        <scheme val="minor"/>
      </rPr>
      <t xml:space="preserve">
- Dans l'onglet</t>
    </r>
    <r>
      <rPr>
        <sz val="11"/>
        <color indexed="10"/>
        <rFont val="Calibri"/>
        <family val="2"/>
      </rPr>
      <t xml:space="preserve"> "Résultats"</t>
    </r>
    <r>
      <rPr>
        <sz val="11"/>
        <color theme="1"/>
        <rFont val="Calibri"/>
        <family val="2"/>
        <scheme val="minor"/>
      </rPr>
      <t xml:space="preserve"> , visualisez le classement des espèces selon leurs performances pour les différents services recherchés. Ce classement n'est valable que pour la parcelle décrite. Il vous est possible de constituer des mélanges et de simuler leurs performances sur la même parcelle, en comparaison aux espèces seules. 
- L'onglet </t>
    </r>
    <r>
      <rPr>
        <sz val="11"/>
        <color indexed="17"/>
        <rFont val="Calibri"/>
        <family val="2"/>
      </rPr>
      <t>"Espèces"</t>
    </r>
    <r>
      <rPr>
        <sz val="11"/>
        <color theme="1"/>
        <rFont val="Calibri"/>
        <family val="2"/>
        <scheme val="minor"/>
      </rPr>
      <t xml:space="preserve"> présente des fiches d'identité des espèces ainsi que le tableau de caractérisation des différentes espèces paramétrées dans l'outil. Le tableau peut éventuellement être modifié par l'utilisateur pour différentes raisons. 
Les autres onglets présents sur ce fichier excel ne doivent ni être modifiés ni supprimés: ils servent au bon fonctionnement de l'outil. </t>
    </r>
  </si>
  <si>
    <r>
      <t xml:space="preserve">Caractéristiques (ou traits) des espèces
</t>
    </r>
    <r>
      <rPr>
        <sz val="11"/>
        <color theme="1"/>
        <rFont val="Calibri"/>
        <family val="2"/>
        <scheme val="minor"/>
      </rPr>
      <t>N.B. : PS = plante de service</t>
    </r>
  </si>
  <si>
    <t>Risque d'aphanomycès et de sclérotinia</t>
  </si>
  <si>
    <r>
      <t>Renseigner la dernière colonne</t>
    </r>
    <r>
      <rPr>
        <sz val="14"/>
        <color theme="5" tint="-0.249977111117893"/>
        <rFont val="Calibri"/>
        <family val="2"/>
        <scheme val="minor"/>
      </rPr>
      <t xml:space="preserve"> </t>
    </r>
    <r>
      <rPr>
        <b/>
        <sz val="14"/>
        <color theme="5" tint="-0.249977111117893"/>
        <rFont val="Calibri"/>
        <family val="2"/>
        <scheme val="minor"/>
      </rPr>
      <t>"Mélanges"</t>
    </r>
    <r>
      <rPr>
        <sz val="14"/>
        <rFont val="Calibri"/>
        <scheme val="minor"/>
      </rPr>
      <t xml:space="preserve"> en indiquant une dose de semis de votre choix en face des espèces que vous voulez dans votre mélange. </t>
    </r>
  </si>
  <si>
    <t xml:space="preserve">Destruction faible </t>
  </si>
  <si>
    <t xml:space="preserve">Destruction moyenne </t>
  </si>
  <si>
    <t>Destruction forte</t>
  </si>
  <si>
    <t>Non-applicable</t>
  </si>
  <si>
    <r>
      <t xml:space="preserve">Coûts de semences (€/ha) 
</t>
    </r>
    <r>
      <rPr>
        <b/>
        <sz val="10"/>
        <color theme="1"/>
        <rFont val="Calibri"/>
        <family val="2"/>
        <scheme val="minor"/>
      </rPr>
      <t>(calculés via la moyenne de plusieurs sources; varient fortement selon l'année)</t>
    </r>
  </si>
  <si>
    <r>
      <t>CAPS - Colza Associé à des Plantes de Services.
Outil d'aide au choix d'espèces et de partage de connaissances sur le colza associé</t>
    </r>
    <r>
      <rPr>
        <b/>
        <sz val="18"/>
        <color indexed="10"/>
        <rFont val="Calibri"/>
        <family val="2"/>
      </rPr>
      <t/>
    </r>
  </si>
  <si>
    <r>
      <rPr>
        <b/>
        <u/>
        <sz val="16"/>
        <color indexed="8"/>
        <rFont val="Calibri"/>
      </rPr>
      <t>Mode d'emploi</t>
    </r>
    <r>
      <rPr>
        <b/>
        <sz val="16"/>
        <color indexed="8"/>
        <rFont val="Calibri"/>
        <family val="2"/>
      </rPr>
      <t xml:space="preserve"> : </t>
    </r>
    <r>
      <rPr>
        <u/>
        <sz val="16"/>
        <color indexed="8"/>
        <rFont val="Calibri"/>
      </rPr>
      <t xml:space="preserve">
</t>
    </r>
    <r>
      <rPr>
        <sz val="16"/>
        <color indexed="8"/>
        <rFont val="Calibri"/>
      </rPr>
      <t xml:space="preserve">1/ Cliquez sur le bouton orange en haut à gauche du tableau pour afficher vos résultats.
2/ Dans un deuxième temps, vous pouvez concevoir vous-même un mélange d'espèces et simuler ses performances. Dans la colonne "Mélanges", indiquez les doses de semis des espèces que vous souhaitez mettre en mélange, puis cliquez à nouveau sur le bouton bleu. Des indications à droite du tableau de résultats vous guide dans la conception de votre mélange. 
3/ A tout moment, vous pouvez revenir à l'onglet "services à renseigner" pour changer vos objectifs. A chaque changement, rafraîchissez la page en cliquant sur le bouton bleu. </t>
    </r>
  </si>
  <si>
    <t>prix de semences (€/ha en seul)</t>
  </si>
  <si>
    <t>Ratio</t>
  </si>
  <si>
    <t>densité de semis du mélange (kg/ha)</t>
  </si>
  <si>
    <t>densité de semis dans le mélange (kg/ha)</t>
  </si>
  <si>
    <t>densité de semis seul (kg/ha)</t>
  </si>
  <si>
    <t>Prix de l'espèce en mélange (€/ha)</t>
  </si>
  <si>
    <t>Prix du mélange (€/ha)</t>
  </si>
  <si>
    <t>Trefle Alexandrie monocoupe précoce</t>
  </si>
  <si>
    <t>Vesce pourpre précoce</t>
  </si>
  <si>
    <t>Feverole de printemps précoce</t>
  </si>
  <si>
    <t>Féverole de printemps précoce</t>
  </si>
  <si>
    <t>Trèfle d'Alexandrie monocoupe précoce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</si>
</sst>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 &quot;€&quot;_-;\-* #,##0.00\ &quot;€&quot;_-;_-* &quot;-&quot;??\ &quot;€&quot;_-;_-@_-"/>
    <numFmt numFmtId="165" formatCode="0.0"/>
    <numFmt numFmtId="166" formatCode="#,##0.00\ &quot;€&quot;"/>
    <numFmt numFmtId="167" formatCode="#,##0\ &quot;€&quot;"/>
    <numFmt numFmtId="168" formatCode="_-* #,##0\ &quot;€&quot;_-;\-* #,##0\ &quot;€&quot;_-;_-* &quot;-&quot;??\ &quot;€&quot;_-;_-@_-"/>
  </numFmts>
  <fonts count="104" x14ac:knownFonts="1">
    <font>
      <sz val="11"/>
      <color theme="1"/>
      <name val="Calibri"/>
      <family val="2"/>
      <scheme val="minor"/>
    </font>
    <font>
      <sz val="12"/>
      <color theme="1"/>
      <name val="Calibri"/>
      <family val="2"/>
      <scheme val="minor"/>
    </font>
    <font>
      <sz val="12"/>
      <color theme="1"/>
      <name val="Calibri"/>
      <family val="2"/>
      <scheme val="minor"/>
    </font>
    <font>
      <sz val="11"/>
      <color indexed="8"/>
      <name val="Calibri"/>
      <family val="2"/>
    </font>
    <font>
      <sz val="11"/>
      <color indexed="10"/>
      <name val="Calibri"/>
      <family val="2"/>
    </font>
    <font>
      <b/>
      <sz val="11"/>
      <color indexed="8"/>
      <name val="Calibri"/>
      <family val="2"/>
    </font>
    <font>
      <sz val="11"/>
      <name val="Calibri"/>
      <family val="2"/>
    </font>
    <font>
      <b/>
      <sz val="12"/>
      <color indexed="8"/>
      <name val="Calibri"/>
      <family val="2"/>
    </font>
    <font>
      <b/>
      <sz val="11"/>
      <name val="Calibri"/>
      <family val="2"/>
    </font>
    <font>
      <b/>
      <sz val="16"/>
      <color indexed="8"/>
      <name val="Calibri"/>
      <family val="2"/>
    </font>
    <font>
      <sz val="10"/>
      <color indexed="8"/>
      <name val="Calibri"/>
      <family val="2"/>
    </font>
    <font>
      <sz val="11"/>
      <color indexed="15"/>
      <name val="Calibri"/>
      <family val="2"/>
    </font>
    <font>
      <b/>
      <sz val="18"/>
      <color indexed="10"/>
      <name val="Calibri"/>
      <family val="2"/>
    </font>
    <font>
      <b/>
      <sz val="20"/>
      <color indexed="8"/>
      <name val="Calibri"/>
      <family val="2"/>
    </font>
    <font>
      <sz val="11"/>
      <color indexed="48"/>
      <name val="Calibri"/>
    </font>
    <font>
      <sz val="11"/>
      <color indexed="12"/>
      <name val="Calibri"/>
    </font>
    <font>
      <b/>
      <sz val="20"/>
      <color indexed="15"/>
      <name val="Calibri"/>
    </font>
    <font>
      <b/>
      <sz val="20"/>
      <name val="Calibri"/>
    </font>
    <font>
      <b/>
      <sz val="20"/>
      <color indexed="51"/>
      <name val="Calibri"/>
    </font>
    <font>
      <sz val="11"/>
      <color indexed="17"/>
      <name val="Calibri"/>
      <family val="2"/>
    </font>
    <font>
      <b/>
      <sz val="16"/>
      <color indexed="12"/>
      <name val="Calibri"/>
    </font>
    <font>
      <sz val="12"/>
      <color indexed="8"/>
      <name val="Calibri"/>
      <family val="2"/>
    </font>
    <font>
      <b/>
      <sz val="12"/>
      <name val="Calibri"/>
    </font>
    <font>
      <sz val="12"/>
      <name val="Calibri"/>
    </font>
    <font>
      <u/>
      <sz val="16"/>
      <color indexed="8"/>
      <name val="Calibri"/>
    </font>
    <font>
      <sz val="16"/>
      <color indexed="8"/>
      <name val="Calibri"/>
    </font>
    <font>
      <b/>
      <sz val="16"/>
      <name val="Calibri"/>
    </font>
    <font>
      <b/>
      <u/>
      <sz val="16"/>
      <color indexed="8"/>
      <name val="Calibri"/>
    </font>
    <font>
      <sz val="18"/>
      <color indexed="8"/>
      <name val="Calibri"/>
    </font>
    <font>
      <u/>
      <sz val="18"/>
      <color indexed="8"/>
      <name val="Calibri"/>
    </font>
    <font>
      <sz val="11"/>
      <color theme="1"/>
      <name val="Calibri"/>
      <family val="2"/>
      <scheme val="minor"/>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2"/>
      <color theme="1"/>
      <name val="Calibri"/>
      <family val="2"/>
      <scheme val="minor"/>
    </font>
    <font>
      <b/>
      <sz val="11"/>
      <color rgb="FF3F3F3F"/>
      <name val="Calibri"/>
      <family val="2"/>
      <scheme val="minor"/>
    </font>
    <font>
      <i/>
      <sz val="11"/>
      <color rgb="FF7F7F7F"/>
      <name val="Calibri"/>
      <family val="2"/>
      <scheme val="minor"/>
    </font>
    <font>
      <b/>
      <sz val="11"/>
      <color theme="1"/>
      <name val="Calibri"/>
      <family val="2"/>
      <scheme val="minor"/>
    </font>
    <font>
      <sz val="14"/>
      <color theme="1"/>
      <name val="Calibri"/>
      <family val="2"/>
      <scheme val="minor"/>
    </font>
    <font>
      <b/>
      <sz val="12"/>
      <color theme="1"/>
      <name val="Calibri"/>
      <family val="2"/>
      <scheme val="minor"/>
    </font>
    <font>
      <sz val="10"/>
      <color theme="1"/>
      <name val="Calibri"/>
      <scheme val="minor"/>
    </font>
    <font>
      <sz val="11"/>
      <name val="Calibri"/>
      <family val="2"/>
      <scheme val="minor"/>
    </font>
    <font>
      <b/>
      <sz val="18"/>
      <color theme="1"/>
      <name val="Calibri"/>
      <family val="2"/>
      <scheme val="minor"/>
    </font>
    <font>
      <b/>
      <sz val="12"/>
      <color rgb="FFFF0000"/>
      <name val="Calibri"/>
      <family val="2"/>
      <scheme val="minor"/>
    </font>
    <font>
      <b/>
      <sz val="14"/>
      <color theme="9"/>
      <name val="Calibri"/>
      <family val="2"/>
      <scheme val="minor"/>
    </font>
    <font>
      <b/>
      <sz val="14"/>
      <color theme="5"/>
      <name val="Calibri"/>
      <family val="2"/>
      <scheme val="minor"/>
    </font>
    <font>
      <b/>
      <sz val="14"/>
      <color theme="4"/>
      <name val="Calibri"/>
      <family val="2"/>
      <scheme val="minor"/>
    </font>
    <font>
      <b/>
      <sz val="14"/>
      <color theme="7" tint="-0.249977111117893"/>
      <name val="Calibri"/>
      <family val="2"/>
      <scheme val="minor"/>
    </font>
    <font>
      <b/>
      <sz val="14"/>
      <color theme="2" tint="-0.499984740745262"/>
      <name val="Calibri"/>
      <family val="2"/>
      <scheme val="minor"/>
    </font>
    <font>
      <b/>
      <sz val="14"/>
      <color rgb="FF7030A0"/>
      <name val="Calibri"/>
      <family val="2"/>
      <scheme val="minor"/>
    </font>
    <font>
      <b/>
      <sz val="14"/>
      <color theme="1"/>
      <name val="Calibri"/>
      <family val="2"/>
      <scheme val="minor"/>
    </font>
    <font>
      <sz val="11"/>
      <color theme="2" tint="-0.249977111117893"/>
      <name val="Calibri"/>
      <family val="2"/>
      <scheme val="minor"/>
    </font>
    <font>
      <b/>
      <u/>
      <sz val="11"/>
      <color theme="1"/>
      <name val="Calibri"/>
      <scheme val="minor"/>
    </font>
    <font>
      <sz val="12"/>
      <color theme="1"/>
      <name val="Times"/>
    </font>
    <font>
      <b/>
      <sz val="16"/>
      <color theme="1"/>
      <name val="Calibri"/>
      <family val="2"/>
      <scheme val="minor"/>
    </font>
    <font>
      <sz val="16"/>
      <color rgb="FFFF0000"/>
      <name val="Calibri"/>
      <scheme val="minor"/>
    </font>
    <font>
      <sz val="12"/>
      <color rgb="FF000000"/>
      <name val="Calibri"/>
      <family val="2"/>
      <scheme val="minor"/>
    </font>
    <font>
      <u/>
      <sz val="12"/>
      <color theme="1"/>
      <name val="Calibri"/>
      <scheme val="minor"/>
    </font>
    <font>
      <b/>
      <sz val="12"/>
      <color theme="9"/>
      <name val="Calibri"/>
      <scheme val="minor"/>
    </font>
    <font>
      <b/>
      <sz val="12"/>
      <name val="Calibri"/>
      <scheme val="minor"/>
    </font>
    <font>
      <b/>
      <sz val="16"/>
      <name val="Calibri"/>
      <scheme val="minor"/>
    </font>
    <font>
      <sz val="12"/>
      <color theme="0"/>
      <name val="Calibri"/>
      <family val="2"/>
      <scheme val="minor"/>
    </font>
    <font>
      <u/>
      <sz val="11"/>
      <color theme="1"/>
      <name val="Calibri"/>
      <family val="2"/>
      <scheme val="minor"/>
    </font>
    <font>
      <b/>
      <sz val="12"/>
      <color rgb="FF000000"/>
      <name val="Calibri"/>
      <family val="2"/>
      <scheme val="minor"/>
    </font>
    <font>
      <sz val="14"/>
      <name val="Calibri"/>
      <scheme val="minor"/>
    </font>
    <font>
      <sz val="11"/>
      <color theme="4" tint="0.39997558519241921"/>
      <name val="Calibri"/>
      <family val="2"/>
      <scheme val="minor"/>
    </font>
    <font>
      <b/>
      <sz val="20"/>
      <color theme="1"/>
      <name val="Calibri"/>
      <family val="2"/>
      <scheme val="minor"/>
    </font>
    <font>
      <sz val="12"/>
      <name val="Calibri"/>
      <scheme val="minor"/>
    </font>
    <font>
      <b/>
      <sz val="20"/>
      <color theme="1"/>
      <name val="Calibri"/>
      <family val="2"/>
    </font>
    <font>
      <sz val="20"/>
      <color theme="1"/>
      <name val="Calibri"/>
      <family val="2"/>
      <scheme val="minor"/>
    </font>
    <font>
      <b/>
      <sz val="16"/>
      <color rgb="FFFF0000"/>
      <name val="Calibri"/>
      <scheme val="minor"/>
    </font>
    <font>
      <b/>
      <sz val="14"/>
      <name val="Calibri"/>
      <family val="2"/>
      <scheme val="minor"/>
    </font>
    <font>
      <sz val="12"/>
      <color theme="1"/>
      <name val="Calibri"/>
      <family val="2"/>
    </font>
    <font>
      <b/>
      <sz val="12"/>
      <color rgb="FFFF0000"/>
      <name val="Calibri"/>
      <family val="2"/>
    </font>
    <font>
      <sz val="11"/>
      <color rgb="FF000000"/>
      <name val="Calibri"/>
      <scheme val="minor"/>
    </font>
    <font>
      <sz val="18"/>
      <color theme="1"/>
      <name val="Calibri"/>
      <scheme val="minor"/>
    </font>
    <font>
      <sz val="16"/>
      <color theme="1"/>
      <name val="Calibri"/>
    </font>
    <font>
      <b/>
      <u/>
      <sz val="14"/>
      <color rgb="FFFF0000"/>
      <name val="Calibri"/>
      <scheme val="minor"/>
    </font>
    <font>
      <u/>
      <sz val="11"/>
      <color theme="10"/>
      <name val="Calibri"/>
      <family val="2"/>
      <scheme val="minor"/>
    </font>
    <font>
      <u/>
      <sz val="11"/>
      <color theme="11"/>
      <name val="Calibri"/>
      <family val="2"/>
      <scheme val="minor"/>
    </font>
    <font>
      <b/>
      <sz val="11"/>
      <color indexed="10"/>
      <name val="Calibri"/>
    </font>
    <font>
      <b/>
      <sz val="11"/>
      <color indexed="57"/>
      <name val="Calibri"/>
    </font>
    <font>
      <b/>
      <sz val="11"/>
      <color indexed="51"/>
      <name val="Calibri"/>
    </font>
    <font>
      <b/>
      <sz val="11"/>
      <color theme="7"/>
      <name val="Calibri"/>
      <family val="2"/>
      <scheme val="minor"/>
    </font>
    <font>
      <b/>
      <sz val="11"/>
      <color rgb="FFFF0000"/>
      <name val="Calibri"/>
      <family val="2"/>
      <scheme val="minor"/>
    </font>
    <font>
      <b/>
      <u/>
      <sz val="16"/>
      <color theme="10"/>
      <name val="Calibri"/>
      <family val="2"/>
      <scheme val="minor"/>
    </font>
    <font>
      <b/>
      <sz val="16"/>
      <color rgb="FF00B0F0"/>
      <name val="Calibri"/>
      <family val="2"/>
      <scheme val="minor"/>
    </font>
    <font>
      <b/>
      <sz val="16"/>
      <color rgb="FF00B0F0"/>
      <name val="Calibri"/>
      <family val="2"/>
    </font>
    <font>
      <sz val="14"/>
      <name val="Calibri"/>
      <family val="2"/>
      <scheme val="minor"/>
    </font>
    <font>
      <sz val="16"/>
      <color theme="0"/>
      <name val="Calibri"/>
      <family val="2"/>
      <scheme val="minor"/>
    </font>
    <font>
      <b/>
      <sz val="11"/>
      <color theme="9"/>
      <name val="Calibri"/>
      <family val="2"/>
      <scheme val="minor"/>
    </font>
    <font>
      <sz val="11"/>
      <color theme="7"/>
      <name val="Calibri"/>
      <family val="2"/>
      <scheme val="minor"/>
    </font>
    <font>
      <sz val="11"/>
      <color theme="9"/>
      <name val="Calibri"/>
      <family val="2"/>
      <scheme val="minor"/>
    </font>
    <font>
      <b/>
      <sz val="16"/>
      <color theme="0"/>
      <name val="Calibri"/>
      <family val="2"/>
      <scheme val="minor"/>
    </font>
    <font>
      <sz val="14"/>
      <color theme="1"/>
      <name val="Calibri"/>
      <scheme val="minor"/>
    </font>
    <font>
      <sz val="14"/>
      <color theme="5" tint="-0.249977111117893"/>
      <name val="Calibri"/>
      <family val="2"/>
      <scheme val="minor"/>
    </font>
    <font>
      <b/>
      <sz val="14"/>
      <color theme="5" tint="-0.249977111117893"/>
      <name val="Calibri"/>
      <family val="2"/>
      <scheme val="minor"/>
    </font>
    <font>
      <b/>
      <sz val="10"/>
      <color theme="1"/>
      <name val="Calibri"/>
      <family val="2"/>
      <scheme val="minor"/>
    </font>
    <font>
      <sz val="16"/>
      <color theme="1"/>
      <name val="Calibri"/>
      <family val="2"/>
      <scheme val="minor"/>
    </font>
    <font>
      <sz val="16"/>
      <name val="Calibri"/>
      <family val="2"/>
      <scheme val="minor"/>
    </font>
  </fonts>
  <fills count="6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FFC7CE"/>
      </patternFill>
    </fill>
    <fill>
      <patternFill patternType="solid">
        <fgColor rgb="FFFFEB9C"/>
      </patternFill>
    </fill>
    <fill>
      <patternFill patternType="solid">
        <fgColor theme="9"/>
        <bgColor indexed="64"/>
      </patternFill>
    </fill>
    <fill>
      <patternFill patternType="solid">
        <fgColor theme="1" tint="0.34998626667073579"/>
        <bgColor indexed="64"/>
      </patternFill>
    </fill>
    <fill>
      <patternFill patternType="solid">
        <fgColor theme="0"/>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rgb="FFFF8585"/>
        <bgColor indexed="64"/>
      </patternFill>
    </fill>
    <fill>
      <patternFill patternType="solid">
        <fgColor theme="5" tint="0.59999389629810485"/>
        <bgColor indexed="64"/>
      </patternFill>
    </fill>
    <fill>
      <patternFill patternType="solid">
        <fgColor rgb="FFC00000"/>
        <bgColor indexed="64"/>
      </patternFill>
    </fill>
    <fill>
      <patternFill patternType="solid">
        <fgColor theme="7" tint="0.59999389629810485"/>
        <bgColor indexed="64"/>
      </patternFill>
    </fill>
    <fill>
      <patternFill patternType="solid">
        <fgColor rgb="FFB07BD7"/>
        <bgColor indexed="64"/>
      </patternFill>
    </fill>
    <fill>
      <patternFill patternType="solid">
        <fgColor theme="4"/>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00B05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rgb="FFCCFFCC"/>
        <bgColor indexed="64"/>
      </patternFill>
    </fill>
    <fill>
      <patternFill patternType="solid">
        <fgColor rgb="FF57D3FF"/>
        <bgColor indexed="64"/>
      </patternFill>
    </fill>
    <fill>
      <patternFill patternType="solid">
        <fgColor theme="4" tint="0.59999389629810485"/>
        <bgColor indexed="64"/>
      </patternFill>
    </fill>
    <fill>
      <patternFill patternType="solid">
        <fgColor theme="5"/>
        <bgColor indexed="64"/>
      </patternFill>
    </fill>
    <fill>
      <patternFill patternType="solid">
        <fgColor theme="0"/>
        <bgColor rgb="FF000000"/>
      </patternFill>
    </fill>
    <fill>
      <patternFill patternType="solid">
        <fgColor theme="4" tint="0.39997558519241921"/>
        <bgColor indexed="64"/>
      </patternFill>
    </fill>
    <fill>
      <patternFill patternType="solid">
        <fgColor rgb="FFC6E0B4"/>
        <bgColor rgb="FF000000"/>
      </patternFill>
    </fill>
    <fill>
      <patternFill patternType="solid">
        <fgColor theme="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4" tint="-0.249977111117893"/>
        <bgColor indexed="64"/>
      </patternFill>
    </fill>
  </fills>
  <borders count="87">
    <border>
      <left/>
      <right/>
      <top/>
      <bottom/>
      <diagonal/>
    </border>
    <border>
      <left style="thin">
        <color auto="1"/>
      </left>
      <right style="thin">
        <color auto="1"/>
      </right>
      <top style="thin">
        <color auto="1"/>
      </top>
      <bottom style="thin">
        <color auto="1"/>
      </bottom>
      <diagonal/>
    </border>
    <border>
      <left style="medium">
        <color auto="1"/>
      </left>
      <right/>
      <top/>
      <bottom/>
      <diagonal/>
    </border>
    <border>
      <left style="thin">
        <color auto="1"/>
      </left>
      <right/>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bottom style="thin">
        <color auto="1"/>
      </bottom>
      <diagonal/>
    </border>
    <border>
      <left/>
      <right/>
      <top/>
      <bottom style="medium">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diagonal/>
    </border>
    <border>
      <left style="medium">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medium">
        <color auto="1"/>
      </right>
      <top/>
      <bottom/>
      <diagonal/>
    </border>
    <border>
      <left style="medium">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style="thin">
        <color auto="1"/>
      </top>
      <bottom style="medium">
        <color auto="1"/>
      </bottom>
      <diagonal/>
    </border>
    <border>
      <left/>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diagonal/>
    </border>
    <border>
      <left style="thin">
        <color auto="1"/>
      </left>
      <right style="thin">
        <color auto="1"/>
      </right>
      <top/>
      <bottom/>
      <diagonal/>
    </border>
    <border>
      <left style="medium">
        <color auto="1"/>
      </left>
      <right style="thin">
        <color auto="1"/>
      </right>
      <top/>
      <bottom/>
      <diagonal/>
    </border>
    <border>
      <left style="thin">
        <color auto="1"/>
      </left>
      <right style="medium">
        <color auto="1"/>
      </right>
      <top/>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diagonal/>
    </border>
    <border>
      <left/>
      <right/>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thin">
        <color auto="1"/>
      </top>
      <bottom/>
      <diagonal/>
    </border>
    <border>
      <left style="thin">
        <color auto="1"/>
      </left>
      <right/>
      <top style="medium">
        <color auto="1"/>
      </top>
      <bottom style="thin">
        <color auto="1"/>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s>
  <cellStyleXfs count="82">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2" fillId="0" borderId="0" applyNumberFormat="0" applyFill="0" applyBorder="0" applyAlignment="0" applyProtection="0"/>
    <xf numFmtId="0" fontId="33" fillId="26" borderId="73" applyNumberFormat="0" applyAlignment="0" applyProtection="0"/>
    <xf numFmtId="0" fontId="34" fillId="0" borderId="74" applyNumberFormat="0" applyFill="0" applyAlignment="0" applyProtection="0"/>
    <xf numFmtId="0" fontId="35" fillId="27" borderId="73" applyNumberFormat="0" applyAlignment="0" applyProtection="0"/>
    <xf numFmtId="0" fontId="36" fillId="28" borderId="0" applyNumberFormat="0" applyBorder="0" applyAlignment="0" applyProtection="0"/>
    <xf numFmtId="164" fontId="30" fillId="0" borderId="0" applyFont="0" applyFill="0" applyBorder="0" applyAlignment="0" applyProtection="0"/>
    <xf numFmtId="0" fontId="37" fillId="29" borderId="0" applyNumberFormat="0" applyBorder="0" applyAlignment="0" applyProtection="0"/>
    <xf numFmtId="0" fontId="38" fillId="0" borderId="0"/>
    <xf numFmtId="9" fontId="30" fillId="0" borderId="0" applyFont="0" applyFill="0" applyBorder="0" applyAlignment="0" applyProtection="0"/>
    <xf numFmtId="0" fontId="39" fillId="26" borderId="75" applyNumberFormat="0" applyAlignment="0" applyProtection="0"/>
    <xf numFmtId="0" fontId="40" fillId="0" borderId="0" applyNumberFormat="0" applyFill="0" applyBorder="0" applyAlignment="0" applyProtection="0"/>
    <xf numFmtId="0" fontId="41" fillId="0" borderId="76" applyNumberFormat="0" applyFill="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cellStyleXfs>
  <cellXfs count="748">
    <xf numFmtId="0" fontId="0" fillId="0" borderId="0" xfId="0"/>
    <xf numFmtId="0" fontId="0" fillId="0" borderId="0" xfId="0"/>
    <xf numFmtId="0" fontId="0" fillId="30" borderId="0" xfId="0" applyFill="1"/>
    <xf numFmtId="0" fontId="0" fillId="0" borderId="0" xfId="0" applyFill="1"/>
    <xf numFmtId="1" fontId="0" fillId="0" borderId="0" xfId="0" applyNumberFormat="1"/>
    <xf numFmtId="0" fontId="0" fillId="31" borderId="0" xfId="0" applyFill="1" applyAlignment="1">
      <alignment vertical="center" wrapText="1"/>
    </xf>
    <xf numFmtId="0" fontId="0" fillId="0" borderId="1" xfId="0" applyBorder="1"/>
    <xf numFmtId="0" fontId="0" fillId="0" borderId="0" xfId="0" applyBorder="1" applyAlignment="1">
      <alignment vertical="center" wrapText="1"/>
    </xf>
    <xf numFmtId="0" fontId="0" fillId="0" borderId="2" xfId="0" applyBorder="1"/>
    <xf numFmtId="0" fontId="0" fillId="0" borderId="0" xfId="0" applyBorder="1"/>
    <xf numFmtId="0" fontId="0" fillId="0" borderId="0" xfId="0" applyBorder="1" applyAlignment="1">
      <alignment horizontal="center"/>
    </xf>
    <xf numFmtId="0" fontId="0" fillId="0" borderId="3" xfId="0" applyBorder="1" applyAlignment="1"/>
    <xf numFmtId="0" fontId="0" fillId="0" borderId="0" xfId="0" applyBorder="1" applyAlignment="1"/>
    <xf numFmtId="0" fontId="0" fillId="0" borderId="0" xfId="0" applyFill="1" applyBorder="1"/>
    <xf numFmtId="0" fontId="42" fillId="0" borderId="0" xfId="0" applyFont="1" applyBorder="1"/>
    <xf numFmtId="0" fontId="42" fillId="0" borderId="0" xfId="0" applyFont="1" applyBorder="1" applyAlignment="1">
      <alignment vertical="top" wrapText="1"/>
    </xf>
    <xf numFmtId="0" fontId="42" fillId="0" borderId="0" xfId="0" applyFont="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center"/>
    </xf>
    <xf numFmtId="0" fontId="0" fillId="32" borderId="0" xfId="0" applyFill="1" applyBorder="1"/>
    <xf numFmtId="0" fontId="0" fillId="32" borderId="0" xfId="0" applyFill="1" applyBorder="1" applyAlignment="1">
      <alignment horizontal="center"/>
    </xf>
    <xf numFmtId="0" fontId="43" fillId="33" borderId="0" xfId="0" applyFont="1" applyFill="1" applyBorder="1"/>
    <xf numFmtId="0" fontId="43" fillId="33" borderId="0" xfId="0" applyFont="1" applyFill="1" applyBorder="1" applyAlignment="1"/>
    <xf numFmtId="0" fontId="0" fillId="33" borderId="0" xfId="0" applyFill="1" applyBorder="1"/>
    <xf numFmtId="0" fontId="43" fillId="34" borderId="0" xfId="0" applyFont="1" applyFill="1" applyBorder="1"/>
    <xf numFmtId="0" fontId="0" fillId="34" borderId="0" xfId="0" applyFill="1" applyBorder="1"/>
    <xf numFmtId="0" fontId="0" fillId="0" borderId="0" xfId="0" quotePrefix="1" applyBorder="1" applyAlignment="1"/>
    <xf numFmtId="0" fontId="0" fillId="35" borderId="0" xfId="0" applyFill="1" applyBorder="1"/>
    <xf numFmtId="0" fontId="0" fillId="0" borderId="0" xfId="0" applyBorder="1" applyAlignment="1">
      <alignment horizontal="center"/>
    </xf>
    <xf numFmtId="0" fontId="0" fillId="32" borderId="0" xfId="0" applyFill="1" applyBorder="1" applyAlignment="1">
      <alignment horizontal="center"/>
    </xf>
    <xf numFmtId="0" fontId="0" fillId="0" borderId="0" xfId="0" applyBorder="1" applyAlignment="1">
      <alignment horizontal="center"/>
    </xf>
    <xf numFmtId="0" fontId="0" fillId="0" borderId="4" xfId="0"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8" xfId="0" applyBorder="1" applyAlignment="1">
      <alignment horizontal="center" vertical="center"/>
    </xf>
    <xf numFmtId="0" fontId="0" fillId="0" borderId="2"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36" borderId="0" xfId="0" applyFill="1"/>
    <xf numFmtId="0" fontId="0" fillId="37" borderId="0" xfId="0" applyFill="1"/>
    <xf numFmtId="0" fontId="0" fillId="38" borderId="0" xfId="0" applyFill="1"/>
    <xf numFmtId="0" fontId="0" fillId="30" borderId="0" xfId="0" applyFill="1" applyBorder="1"/>
    <xf numFmtId="0" fontId="0" fillId="39" borderId="0" xfId="0" applyFill="1" applyBorder="1"/>
    <xf numFmtId="0" fontId="0" fillId="0" borderId="0" xfId="0" applyFont="1" applyBorder="1" applyAlignment="1">
      <alignment vertical="center" wrapText="1"/>
    </xf>
    <xf numFmtId="0" fontId="42" fillId="0" borderId="0" xfId="0" applyFont="1" applyBorder="1" applyAlignment="1">
      <alignment vertical="top"/>
    </xf>
    <xf numFmtId="1" fontId="0" fillId="0" borderId="0" xfId="0" applyNumberFormat="1" applyBorder="1"/>
    <xf numFmtId="2" fontId="0" fillId="0" borderId="0" xfId="0" applyNumberFormat="1" applyBorder="1"/>
    <xf numFmtId="0" fontId="0" fillId="40" borderId="0" xfId="0" applyFill="1" applyBorder="1"/>
    <xf numFmtId="0" fontId="0" fillId="41" borderId="0" xfId="0" applyFill="1" applyBorder="1"/>
    <xf numFmtId="0" fontId="0" fillId="42" borderId="0" xfId="0" applyFill="1"/>
    <xf numFmtId="0" fontId="0" fillId="43" borderId="0" xfId="0" applyFill="1"/>
    <xf numFmtId="0" fontId="0" fillId="34" borderId="0" xfId="0" applyFill="1"/>
    <xf numFmtId="1" fontId="0" fillId="44" borderId="0" xfId="0" applyNumberFormat="1" applyFill="1" applyBorder="1"/>
    <xf numFmtId="1" fontId="0" fillId="0" borderId="0" xfId="0" applyNumberFormat="1" applyFill="1" applyBorder="1"/>
    <xf numFmtId="0" fontId="41" fillId="0" borderId="8" xfId="0" applyFont="1" applyFill="1" applyBorder="1" applyAlignment="1">
      <alignment vertical="center"/>
    </xf>
    <xf numFmtId="0" fontId="41" fillId="0" borderId="2" xfId="0" applyFont="1" applyFill="1" applyBorder="1" applyAlignment="1">
      <alignment vertical="center"/>
    </xf>
    <xf numFmtId="0" fontId="41" fillId="0" borderId="9" xfId="0" applyFont="1" applyFill="1" applyBorder="1" applyAlignment="1">
      <alignment vertical="center" wrapText="1"/>
    </xf>
    <xf numFmtId="0" fontId="0" fillId="0" borderId="11" xfId="0" applyFill="1" applyBorder="1" applyAlignment="1">
      <alignment vertical="center" wrapText="1"/>
    </xf>
    <xf numFmtId="0" fontId="0" fillId="0" borderId="0" xfId="0" applyBorder="1" applyAlignment="1">
      <alignment horizontal="center" vertical="center"/>
    </xf>
    <xf numFmtId="0" fontId="0" fillId="32" borderId="0" xfId="0" applyFill="1" applyBorder="1" applyAlignment="1">
      <alignment horizontal="center"/>
    </xf>
    <xf numFmtId="0" fontId="0" fillId="0" borderId="0" xfId="0" applyFill="1" applyBorder="1" applyAlignment="1">
      <alignment horizontal="center"/>
    </xf>
    <xf numFmtId="0" fontId="0" fillId="0" borderId="0" xfId="0" applyBorder="1" applyAlignment="1">
      <alignment horizontal="center" wrapText="1"/>
    </xf>
    <xf numFmtId="0" fontId="0" fillId="45" borderId="0" xfId="0" applyFill="1" applyBorder="1"/>
    <xf numFmtId="0" fontId="0" fillId="0" borderId="0" xfId="0" applyFill="1" applyBorder="1" applyAlignment="1"/>
    <xf numFmtId="0" fontId="0" fillId="0" borderId="0" xfId="0" applyFill="1" applyBorder="1" applyAlignment="1">
      <alignment wrapText="1"/>
    </xf>
    <xf numFmtId="0" fontId="44" fillId="46" borderId="1" xfId="0" applyFont="1" applyFill="1" applyBorder="1" applyAlignment="1">
      <alignment horizontal="left" vertical="center" wrapText="1"/>
    </xf>
    <xf numFmtId="0" fontId="44" fillId="47" borderId="1" xfId="0" applyFont="1" applyFill="1" applyBorder="1" applyAlignment="1">
      <alignment horizontal="left" vertical="center" wrapText="1"/>
    </xf>
    <xf numFmtId="0" fontId="44" fillId="40" borderId="1" xfId="0" applyFont="1" applyFill="1" applyBorder="1" applyAlignment="1">
      <alignment horizontal="left" vertical="center" wrapText="1"/>
    </xf>
    <xf numFmtId="0" fontId="0" fillId="33" borderId="1" xfId="0" applyFill="1" applyBorder="1"/>
    <xf numFmtId="0" fontId="0" fillId="0" borderId="0" xfId="0" applyBorder="1" applyAlignment="1">
      <alignment wrapText="1"/>
    </xf>
    <xf numFmtId="0" fontId="0" fillId="0" borderId="12" xfId="0" applyBorder="1"/>
    <xf numFmtId="0" fontId="43" fillId="33" borderId="1" xfId="0" applyFont="1" applyFill="1" applyBorder="1"/>
    <xf numFmtId="49" fontId="0" fillId="0" borderId="0" xfId="0" applyNumberFormat="1" applyBorder="1"/>
    <xf numFmtId="0" fontId="0" fillId="48" borderId="0" xfId="0" applyFill="1" applyBorder="1"/>
    <xf numFmtId="0" fontId="0" fillId="49" borderId="0" xfId="0" applyFill="1" applyBorder="1"/>
    <xf numFmtId="0" fontId="44" fillId="40" borderId="13" xfId="0" applyFont="1" applyFill="1" applyBorder="1" applyAlignment="1">
      <alignment horizontal="left" vertical="center" wrapText="1"/>
    </xf>
    <xf numFmtId="0" fontId="0" fillId="48" borderId="0" xfId="0" applyFont="1" applyFill="1" applyBorder="1" applyAlignment="1"/>
    <xf numFmtId="0" fontId="0" fillId="50" borderId="0" xfId="0" applyFont="1" applyFill="1" applyBorder="1" applyAlignment="1"/>
    <xf numFmtId="0" fontId="0" fillId="35" borderId="0" xfId="0" applyFont="1" applyFill="1" applyBorder="1" applyAlignment="1">
      <alignment wrapText="1"/>
    </xf>
    <xf numFmtId="0" fontId="0" fillId="50" borderId="0" xfId="0" applyFill="1" applyBorder="1"/>
    <xf numFmtId="0" fontId="0" fillId="0" borderId="0" xfId="0" applyBorder="1" applyAlignment="1">
      <alignment horizontal="left" vertical="top"/>
    </xf>
    <xf numFmtId="0" fontId="0" fillId="0" borderId="0" xfId="0" applyBorder="1" applyAlignment="1">
      <alignment horizontal="left"/>
    </xf>
    <xf numFmtId="0" fontId="0" fillId="0" borderId="0" xfId="0" applyFill="1" applyBorder="1" applyAlignment="1">
      <alignment horizontal="center" vertical="center"/>
    </xf>
    <xf numFmtId="0" fontId="0" fillId="32" borderId="0" xfId="0" applyFill="1"/>
    <xf numFmtId="0" fontId="45" fillId="0" borderId="14" xfId="0" quotePrefix="1" applyFont="1" applyBorder="1" applyAlignment="1"/>
    <xf numFmtId="0" fontId="45" fillId="0" borderId="0" xfId="0" quotePrefix="1" applyFont="1" applyBorder="1" applyAlignment="1"/>
    <xf numFmtId="0" fontId="10" fillId="40" borderId="1" xfId="0" applyFont="1" applyFill="1" applyBorder="1" applyAlignment="1">
      <alignment horizontal="left" vertical="center" wrapText="1"/>
    </xf>
    <xf numFmtId="0" fontId="31" fillId="0" borderId="0" xfId="0" applyFont="1"/>
    <xf numFmtId="0" fontId="46" fillId="32" borderId="0" xfId="0" applyFont="1" applyFill="1" applyAlignment="1"/>
    <xf numFmtId="0" fontId="41" fillId="32" borderId="0" xfId="0" applyFont="1" applyFill="1"/>
    <xf numFmtId="0" fontId="0" fillId="32" borderId="0" xfId="0" applyFill="1" applyAlignment="1">
      <alignment vertical="top" wrapText="1"/>
    </xf>
    <xf numFmtId="0" fontId="44" fillId="48" borderId="15" xfId="0" applyFont="1" applyFill="1" applyBorder="1" applyAlignment="1">
      <alignment horizontal="center" vertical="center" wrapText="1"/>
    </xf>
    <xf numFmtId="0" fontId="44" fillId="50" borderId="16" xfId="0" applyFont="1" applyFill="1" applyBorder="1" applyAlignment="1">
      <alignment horizontal="center" vertical="center" wrapText="1"/>
    </xf>
    <xf numFmtId="0" fontId="44" fillId="35" borderId="17" xfId="0" applyFont="1" applyFill="1" applyBorder="1" applyAlignment="1">
      <alignment horizontal="center" vertical="center" wrapText="1"/>
    </xf>
    <xf numFmtId="0" fontId="44" fillId="49" borderId="18" xfId="0" applyFont="1" applyFill="1" applyBorder="1" applyAlignment="1">
      <alignment horizontal="center" vertical="center" wrapText="1"/>
    </xf>
    <xf numFmtId="0" fontId="0" fillId="0" borderId="0" xfId="0" applyNumberFormat="1" applyFill="1" applyBorder="1"/>
    <xf numFmtId="166" fontId="0" fillId="0" borderId="0" xfId="0" applyNumberFormat="1" applyFill="1" applyBorder="1"/>
    <xf numFmtId="0" fontId="0" fillId="32" borderId="0" xfId="0" applyFill="1" applyBorder="1" applyAlignment="1"/>
    <xf numFmtId="0" fontId="43" fillId="0" borderId="0" xfId="32" applyFont="1"/>
    <xf numFmtId="0" fontId="38" fillId="0" borderId="0" xfId="32"/>
    <xf numFmtId="0" fontId="38" fillId="51" borderId="0" xfId="32" applyFill="1"/>
    <xf numFmtId="0" fontId="38" fillId="52" borderId="0" xfId="32" applyFill="1"/>
    <xf numFmtId="0" fontId="38" fillId="35" borderId="0" xfId="32" applyFill="1"/>
    <xf numFmtId="0" fontId="38" fillId="53" borderId="0" xfId="32" applyFill="1"/>
    <xf numFmtId="0" fontId="47" fillId="0" borderId="0" xfId="32" applyFont="1"/>
    <xf numFmtId="0" fontId="38" fillId="0" borderId="0" xfId="32" applyFill="1"/>
    <xf numFmtId="0" fontId="43" fillId="0" borderId="0" xfId="32" applyFont="1" applyFill="1"/>
    <xf numFmtId="0" fontId="48" fillId="0" borderId="1" xfId="0" applyFont="1" applyFill="1" applyBorder="1"/>
    <xf numFmtId="0" fontId="49" fillId="0" borderId="1" xfId="0" applyFont="1" applyFill="1" applyBorder="1"/>
    <xf numFmtId="0" fontId="50" fillId="0" borderId="1" xfId="0" applyFont="1" applyFill="1" applyBorder="1" applyAlignment="1">
      <alignment horizontal="left" vertical="top" wrapText="1"/>
    </xf>
    <xf numFmtId="0" fontId="51" fillId="0" borderId="1" xfId="0" applyFont="1" applyFill="1" applyBorder="1" applyAlignment="1">
      <alignment horizontal="left" vertical="top" wrapText="1"/>
    </xf>
    <xf numFmtId="0" fontId="52" fillId="0" borderId="1" xfId="0" applyFont="1" applyFill="1" applyBorder="1" applyAlignment="1">
      <alignment horizontal="left" vertical="top" wrapText="1"/>
    </xf>
    <xf numFmtId="0" fontId="53" fillId="0" borderId="1" xfId="0" applyFont="1" applyFill="1" applyBorder="1" applyAlignment="1">
      <alignment horizontal="left" vertical="top" wrapText="1"/>
    </xf>
    <xf numFmtId="0" fontId="54" fillId="0" borderId="1" xfId="32" applyFont="1" applyBorder="1" applyAlignment="1">
      <alignment horizontal="center"/>
    </xf>
    <xf numFmtId="0" fontId="0" fillId="0" borderId="19" xfId="0" applyNumberFormat="1" applyBorder="1" applyAlignment="1">
      <alignment horizontal="center"/>
    </xf>
    <xf numFmtId="0" fontId="0" fillId="0" borderId="8" xfId="0" applyFill="1" applyBorder="1" applyAlignment="1"/>
    <xf numFmtId="0" fontId="0" fillId="32" borderId="0" xfId="0" applyFill="1" applyBorder="1" applyAlignment="1">
      <alignment horizontal="center"/>
    </xf>
    <xf numFmtId="0" fontId="0" fillId="0" borderId="0" xfId="0" applyBorder="1" applyAlignment="1">
      <alignment horizontal="center"/>
    </xf>
    <xf numFmtId="0" fontId="0" fillId="0" borderId="0" xfId="0" applyBorder="1" applyAlignment="1">
      <alignment horizontal="left"/>
    </xf>
    <xf numFmtId="0" fontId="0" fillId="0" borderId="1" xfId="0" applyBorder="1" applyAlignment="1">
      <alignment horizontal="left"/>
    </xf>
    <xf numFmtId="0" fontId="55" fillId="51" borderId="19" xfId="0" applyFont="1" applyFill="1" applyBorder="1"/>
    <xf numFmtId="0" fontId="0" fillId="31" borderId="2" xfId="0" applyFill="1" applyBorder="1" applyAlignment="1">
      <alignment vertical="center" wrapText="1"/>
    </xf>
    <xf numFmtId="0" fontId="47" fillId="53" borderId="0" xfId="32" applyFont="1" applyFill="1"/>
    <xf numFmtId="0" fontId="47" fillId="35" borderId="0" xfId="32" applyFont="1" applyFill="1"/>
    <xf numFmtId="0" fontId="47" fillId="52" borderId="0" xfId="32" applyFont="1" applyFill="1"/>
    <xf numFmtId="0" fontId="52" fillId="0" borderId="0" xfId="0" applyFont="1" applyBorder="1" applyAlignment="1">
      <alignment horizontal="center" vertical="center" wrapText="1"/>
    </xf>
    <xf numFmtId="0" fontId="52" fillId="0" borderId="0" xfId="0" applyFont="1" applyFill="1" applyBorder="1" applyAlignment="1">
      <alignment horizontal="left" vertical="top" wrapText="1"/>
    </xf>
    <xf numFmtId="0" fontId="45" fillId="30" borderId="10" xfId="0" applyFont="1" applyFill="1" applyBorder="1"/>
    <xf numFmtId="0" fontId="45" fillId="35" borderId="20" xfId="0" applyFont="1" applyFill="1" applyBorder="1"/>
    <xf numFmtId="0" fontId="45" fillId="49" borderId="20" xfId="0" applyFont="1" applyFill="1" applyBorder="1"/>
    <xf numFmtId="0" fontId="45" fillId="45" borderId="21" xfId="0" applyFont="1" applyFill="1" applyBorder="1"/>
    <xf numFmtId="168" fontId="30" fillId="0" borderId="0" xfId="30" applyNumberFormat="1" applyFont="1" applyBorder="1"/>
    <xf numFmtId="0" fontId="30" fillId="0" borderId="0" xfId="30" applyNumberFormat="1" applyFont="1" applyBorder="1"/>
    <xf numFmtId="0" fontId="56" fillId="32" borderId="0" xfId="0" applyFont="1" applyFill="1"/>
    <xf numFmtId="0" fontId="57" fillId="0" borderId="0" xfId="0" applyFont="1"/>
    <xf numFmtId="0" fontId="38" fillId="54" borderId="13" xfId="0" applyFont="1" applyFill="1" applyBorder="1" applyAlignment="1" applyProtection="1">
      <alignment horizontal="center" vertical="center"/>
      <protection locked="0"/>
    </xf>
    <xf numFmtId="0" fontId="38" fillId="54" borderId="1" xfId="0" applyFont="1" applyFill="1" applyBorder="1" applyAlignment="1" applyProtection="1">
      <alignment horizontal="center" vertical="center"/>
      <protection locked="0"/>
    </xf>
    <xf numFmtId="0" fontId="0" fillId="35" borderId="0" xfId="0" applyFill="1" applyBorder="1" applyAlignment="1"/>
    <xf numFmtId="0" fontId="0" fillId="55" borderId="0" xfId="0" applyFill="1" applyBorder="1"/>
    <xf numFmtId="0" fontId="0" fillId="55" borderId="0" xfId="0" applyFill="1" applyBorder="1" applyAlignment="1"/>
    <xf numFmtId="0" fontId="31" fillId="0" borderId="0" xfId="0" quotePrefix="1" applyFont="1" applyBorder="1" applyAlignment="1"/>
    <xf numFmtId="0" fontId="0" fillId="35" borderId="1" xfId="0" applyFill="1" applyBorder="1" applyAlignment="1" applyProtection="1">
      <alignment horizontal="center"/>
      <protection locked="0"/>
    </xf>
    <xf numFmtId="0" fontId="0" fillId="30" borderId="1" xfId="0" applyFill="1" applyBorder="1" applyAlignment="1" applyProtection="1">
      <alignment horizontal="center"/>
      <protection locked="0"/>
    </xf>
    <xf numFmtId="0" fontId="0" fillId="49" borderId="1" xfId="0" applyFill="1" applyBorder="1" applyAlignment="1" applyProtection="1">
      <alignment horizontal="center"/>
      <protection locked="0"/>
    </xf>
    <xf numFmtId="0" fontId="0" fillId="45" borderId="1" xfId="0" applyFill="1" applyBorder="1" applyAlignment="1" applyProtection="1">
      <alignment horizontal="center"/>
      <protection locked="0"/>
    </xf>
    <xf numFmtId="0" fontId="0" fillId="45" borderId="23" xfId="0" applyFill="1" applyBorder="1" applyAlignment="1" applyProtection="1">
      <alignment horizontal="center" vertical="center"/>
      <protection locked="0"/>
    </xf>
    <xf numFmtId="0" fontId="0" fillId="30" borderId="1" xfId="0" applyFont="1" applyFill="1" applyBorder="1" applyAlignment="1" applyProtection="1">
      <alignment horizontal="center"/>
      <protection locked="0"/>
    </xf>
    <xf numFmtId="0" fontId="0" fillId="45" borderId="1" xfId="0" applyFont="1" applyFill="1" applyBorder="1" applyAlignment="1" applyProtection="1">
      <alignment horizontal="center"/>
      <protection locked="0"/>
    </xf>
    <xf numFmtId="0" fontId="0" fillId="49" borderId="1" xfId="0" applyFont="1" applyFill="1" applyBorder="1" applyAlignment="1" applyProtection="1">
      <alignment horizontal="center"/>
      <protection locked="0"/>
    </xf>
    <xf numFmtId="0" fontId="0" fillId="35" borderId="1" xfId="0" applyFont="1" applyFill="1" applyBorder="1" applyAlignment="1" applyProtection="1">
      <alignment horizontal="center"/>
      <protection locked="0"/>
    </xf>
    <xf numFmtId="167" fontId="0" fillId="0" borderId="1" xfId="0" applyNumberFormat="1" applyBorder="1" applyAlignment="1" applyProtection="1">
      <alignment horizontal="center"/>
      <protection locked="0"/>
    </xf>
    <xf numFmtId="0" fontId="0" fillId="0" borderId="1" xfId="0" applyNumberFormat="1" applyBorder="1" applyAlignment="1" applyProtection="1">
      <alignment horizontal="center"/>
      <protection locked="0"/>
    </xf>
    <xf numFmtId="0" fontId="0" fillId="0" borderId="1" xfId="0" applyNumberFormat="1" applyFill="1" applyBorder="1" applyAlignment="1" applyProtection="1">
      <alignment horizontal="center"/>
      <protection locked="0"/>
    </xf>
    <xf numFmtId="0" fontId="45" fillId="56" borderId="8" xfId="0" applyFont="1" applyFill="1" applyBorder="1" applyAlignment="1" applyProtection="1">
      <alignment horizontal="center" vertical="center"/>
      <protection locked="0"/>
    </xf>
    <xf numFmtId="0" fontId="45" fillId="56" borderId="24" xfId="0" applyFont="1" applyFill="1" applyBorder="1" applyAlignment="1" applyProtection="1">
      <alignment horizontal="center" vertical="center"/>
      <protection locked="0"/>
    </xf>
    <xf numFmtId="0" fontId="45" fillId="56" borderId="25" xfId="0" applyFont="1" applyFill="1" applyBorder="1" applyAlignment="1" applyProtection="1">
      <alignment horizontal="center" vertical="center"/>
      <protection locked="0"/>
    </xf>
    <xf numFmtId="0" fontId="45" fillId="56" borderId="26" xfId="0" applyFont="1" applyFill="1" applyBorder="1" applyAlignment="1" applyProtection="1">
      <alignment horizontal="center" vertical="center"/>
      <protection locked="0"/>
    </xf>
    <xf numFmtId="0" fontId="55" fillId="51" borderId="17" xfId="0" applyFont="1" applyFill="1" applyBorder="1"/>
    <xf numFmtId="0" fontId="0" fillId="0" borderId="17" xfId="0" applyNumberFormat="1" applyBorder="1" applyAlignment="1">
      <alignment horizontal="center"/>
    </xf>
    <xf numFmtId="2" fontId="0" fillId="0" borderId="0" xfId="0" applyNumberFormat="1"/>
    <xf numFmtId="0" fontId="0" fillId="45" borderId="28" xfId="0" applyFill="1" applyBorder="1"/>
    <xf numFmtId="0" fontId="0" fillId="45" borderId="4" xfId="0" applyFill="1" applyBorder="1"/>
    <xf numFmtId="0" fontId="0" fillId="45" borderId="6" xfId="0" applyFill="1" applyBorder="1"/>
    <xf numFmtId="0" fontId="0" fillId="45" borderId="8" xfId="0" applyFill="1" applyBorder="1"/>
    <xf numFmtId="0" fontId="0" fillId="45" borderId="2" xfId="0" applyFill="1" applyBorder="1"/>
    <xf numFmtId="0" fontId="0" fillId="0" borderId="8" xfId="0" applyBorder="1"/>
    <xf numFmtId="0" fontId="59" fillId="0" borderId="0" xfId="0" applyFont="1"/>
    <xf numFmtId="0" fontId="0" fillId="32" borderId="0" xfId="0" applyFill="1" applyAlignment="1">
      <alignment vertical="top"/>
    </xf>
    <xf numFmtId="0" fontId="41" fillId="32" borderId="0" xfId="0" applyFont="1" applyFill="1" applyAlignment="1">
      <alignment vertical="top"/>
    </xf>
    <xf numFmtId="0" fontId="0" fillId="0" borderId="24" xfId="0" applyBorder="1" applyAlignment="1">
      <alignment horizontal="center"/>
    </xf>
    <xf numFmtId="0" fontId="0" fillId="53" borderId="26" xfId="0" applyFill="1" applyBorder="1" applyAlignment="1" applyProtection="1">
      <alignment horizontal="center"/>
      <protection locked="0"/>
    </xf>
    <xf numFmtId="0" fontId="0" fillId="53" borderId="24" xfId="0" applyFill="1" applyBorder="1" applyAlignment="1" applyProtection="1">
      <alignment horizontal="center"/>
      <protection locked="0"/>
    </xf>
    <xf numFmtId="0" fontId="0" fillId="53" borderId="0" xfId="0" applyFill="1" applyAlignment="1" applyProtection="1">
      <alignment horizontal="center"/>
      <protection locked="0"/>
    </xf>
    <xf numFmtId="0" fontId="0" fillId="53" borderId="8" xfId="0" applyFill="1" applyBorder="1" applyAlignment="1" applyProtection="1">
      <alignment horizontal="center"/>
      <protection locked="0"/>
    </xf>
    <xf numFmtId="0" fontId="38" fillId="0" borderId="1" xfId="32" applyBorder="1"/>
    <xf numFmtId="0" fontId="38" fillId="0" borderId="1" xfId="32" applyBorder="1" applyAlignment="1">
      <alignment horizontal="center" vertical="center"/>
    </xf>
    <xf numFmtId="0" fontId="38" fillId="0" borderId="1" xfId="32" applyFill="1" applyBorder="1" applyAlignment="1">
      <alignment horizontal="center" vertical="center"/>
    </xf>
    <xf numFmtId="0" fontId="43" fillId="57" borderId="1" xfId="32" applyFont="1" applyFill="1" applyBorder="1"/>
    <xf numFmtId="0" fontId="60" fillId="0" borderId="1" xfId="32" applyFont="1" applyBorder="1"/>
    <xf numFmtId="0" fontId="43" fillId="51" borderId="1" xfId="32" applyFont="1" applyFill="1" applyBorder="1"/>
    <xf numFmtId="0" fontId="43" fillId="52" borderId="1" xfId="32" applyFont="1" applyFill="1" applyBorder="1"/>
    <xf numFmtId="0" fontId="61" fillId="49" borderId="0" xfId="32" applyFont="1" applyFill="1"/>
    <xf numFmtId="0" fontId="38" fillId="49" borderId="0" xfId="32" applyFill="1"/>
    <xf numFmtId="165" fontId="0" fillId="0" borderId="0" xfId="0" applyNumberFormat="1"/>
    <xf numFmtId="165" fontId="0" fillId="0" borderId="0" xfId="0" applyNumberFormat="1" applyBorder="1" applyAlignment="1">
      <alignment horizontal="center"/>
    </xf>
    <xf numFmtId="165" fontId="0" fillId="55" borderId="0" xfId="0" applyNumberFormat="1" applyFill="1"/>
    <xf numFmtId="165" fontId="45" fillId="0" borderId="0" xfId="0" applyNumberFormat="1" applyFont="1" applyBorder="1" applyAlignment="1">
      <alignment horizontal="center"/>
    </xf>
    <xf numFmtId="165" fontId="0" fillId="46" borderId="0" xfId="0" applyNumberFormat="1" applyFill="1"/>
    <xf numFmtId="2" fontId="0" fillId="46" borderId="2" xfId="0" applyNumberFormat="1" applyFill="1" applyBorder="1" applyAlignment="1">
      <alignment horizontal="center"/>
    </xf>
    <xf numFmtId="2" fontId="0" fillId="46" borderId="0" xfId="0" applyNumberFormat="1" applyFill="1" applyBorder="1" applyAlignment="1">
      <alignment horizontal="center"/>
    </xf>
    <xf numFmtId="2" fontId="0" fillId="46" borderId="6" xfId="0" applyNumberFormat="1" applyFill="1" applyBorder="1" applyAlignment="1">
      <alignment horizontal="center"/>
    </xf>
    <xf numFmtId="0" fontId="0" fillId="0" borderId="6" xfId="0" applyBorder="1"/>
    <xf numFmtId="0" fontId="0" fillId="0" borderId="11" xfId="0" applyBorder="1"/>
    <xf numFmtId="2" fontId="0" fillId="55" borderId="0" xfId="0" applyNumberFormat="1" applyFill="1"/>
    <xf numFmtId="165" fontId="0" fillId="0" borderId="0" xfId="0" applyNumberFormat="1" applyFill="1" applyBorder="1" applyAlignment="1">
      <alignment horizontal="center"/>
    </xf>
    <xf numFmtId="168" fontId="0" fillId="0" borderId="0" xfId="0" applyNumberFormat="1"/>
    <xf numFmtId="0" fontId="0" fillId="0" borderId="11" xfId="0" applyBorder="1" applyAlignment="1">
      <alignment horizontal="center"/>
    </xf>
    <xf numFmtId="0" fontId="0" fillId="0" borderId="5" xfId="0"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0" fillId="46" borderId="2" xfId="0" applyFill="1" applyBorder="1" applyAlignment="1">
      <alignment horizontal="center"/>
    </xf>
    <xf numFmtId="0" fontId="0" fillId="0" borderId="0" xfId="0" applyAlignment="1">
      <alignment wrapText="1"/>
    </xf>
    <xf numFmtId="0" fontId="62" fillId="0" borderId="29" xfId="0" applyFont="1" applyFill="1" applyBorder="1" applyAlignment="1">
      <alignment horizontal="center" vertical="center" wrapText="1"/>
    </xf>
    <xf numFmtId="0" fontId="62" fillId="0" borderId="19" xfId="0" applyFont="1" applyFill="1" applyBorder="1" applyAlignment="1">
      <alignment horizontal="center" vertical="center" wrapText="1"/>
    </xf>
    <xf numFmtId="0" fontId="62" fillId="0" borderId="30" xfId="0" applyFont="1" applyFill="1" applyBorder="1" applyAlignment="1">
      <alignment horizontal="center" vertical="center" wrapText="1"/>
    </xf>
    <xf numFmtId="0" fontId="0" fillId="46" borderId="6" xfId="0" applyFill="1" applyBorder="1" applyAlignment="1">
      <alignment horizontal="left"/>
    </xf>
    <xf numFmtId="0" fontId="0" fillId="46" borderId="5" xfId="0" applyFill="1" applyBorder="1" applyAlignment="1">
      <alignment horizontal="left"/>
    </xf>
    <xf numFmtId="0" fontId="0" fillId="46" borderId="9" xfId="0" applyFill="1" applyBorder="1" applyAlignment="1">
      <alignment horizontal="center"/>
    </xf>
    <xf numFmtId="0" fontId="45" fillId="46" borderId="2" xfId="0" applyFont="1" applyFill="1" applyBorder="1" applyAlignment="1">
      <alignment horizontal="center"/>
    </xf>
    <xf numFmtId="0" fontId="45" fillId="46" borderId="0" xfId="0" applyFont="1" applyFill="1" applyBorder="1" applyAlignment="1">
      <alignment horizontal="center"/>
    </xf>
    <xf numFmtId="0" fontId="45" fillId="46" borderId="6" xfId="0" applyFont="1" applyFill="1" applyBorder="1" applyAlignment="1">
      <alignment horizontal="center"/>
    </xf>
    <xf numFmtId="0" fontId="0" fillId="0" borderId="31" xfId="0" applyBorder="1"/>
    <xf numFmtId="0" fontId="0" fillId="0" borderId="32" xfId="0" applyBorder="1"/>
    <xf numFmtId="0" fontId="0" fillId="0" borderId="9" xfId="0" applyBorder="1"/>
    <xf numFmtId="0" fontId="0" fillId="0" borderId="33" xfId="0" applyBorder="1"/>
    <xf numFmtId="0" fontId="0" fillId="0" borderId="34" xfId="0" applyBorder="1" applyAlignment="1">
      <alignment horizontal="center"/>
    </xf>
    <xf numFmtId="0" fontId="0" fillId="0" borderId="35" xfId="0" applyBorder="1" applyAlignment="1">
      <alignment horizontal="center"/>
    </xf>
    <xf numFmtId="0" fontId="0" fillId="0" borderId="2" xfId="0" applyBorder="1" applyAlignment="1">
      <alignment horizontal="center"/>
    </xf>
    <xf numFmtId="0" fontId="0" fillId="0" borderId="9" xfId="0" applyBorder="1" applyAlignment="1">
      <alignment horizontal="center"/>
    </xf>
    <xf numFmtId="0" fontId="0" fillId="0" borderId="14" xfId="0" applyBorder="1" applyAlignment="1">
      <alignment horizontal="center"/>
    </xf>
    <xf numFmtId="2" fontId="0" fillId="0" borderId="35" xfId="0" applyNumberFormat="1" applyBorder="1" applyAlignment="1">
      <alignment horizontal="center"/>
    </xf>
    <xf numFmtId="2" fontId="0" fillId="0" borderId="6" xfId="0" applyNumberFormat="1" applyBorder="1" applyAlignment="1">
      <alignment horizontal="center"/>
    </xf>
    <xf numFmtId="2" fontId="0" fillId="0" borderId="5" xfId="0" applyNumberFormat="1" applyBorder="1" applyAlignment="1">
      <alignment horizontal="center"/>
    </xf>
    <xf numFmtId="2" fontId="0" fillId="35" borderId="4" xfId="0" applyNumberFormat="1" applyFill="1" applyBorder="1" applyAlignment="1">
      <alignment horizontal="center"/>
    </xf>
    <xf numFmtId="0" fontId="0" fillId="35" borderId="6" xfId="0" applyFill="1" applyBorder="1" applyAlignment="1">
      <alignment horizontal="center"/>
    </xf>
    <xf numFmtId="0" fontId="0" fillId="35" borderId="5" xfId="0" applyFill="1" applyBorder="1" applyAlignment="1">
      <alignment horizontal="center"/>
    </xf>
    <xf numFmtId="0" fontId="45" fillId="32" borderId="0" xfId="0" applyFont="1" applyFill="1"/>
    <xf numFmtId="0" fontId="63" fillId="32" borderId="36" xfId="0" applyFont="1" applyFill="1" applyBorder="1" applyAlignment="1">
      <alignment horizontal="center"/>
    </xf>
    <xf numFmtId="0" fontId="45" fillId="0" borderId="0" xfId="0" applyFont="1"/>
    <xf numFmtId="0" fontId="45" fillId="32" borderId="0" xfId="0" applyFont="1" applyFill="1" applyBorder="1"/>
    <xf numFmtId="0" fontId="0" fillId="0" borderId="0" xfId="0" applyAlignment="1">
      <alignment vertical="center" wrapText="1"/>
    </xf>
    <xf numFmtId="165" fontId="0" fillId="0" borderId="0" xfId="0" applyNumberFormat="1" applyFill="1"/>
    <xf numFmtId="0" fontId="46" fillId="32" borderId="0" xfId="0" applyFont="1" applyFill="1" applyAlignment="1">
      <alignment wrapText="1"/>
    </xf>
    <xf numFmtId="0" fontId="56" fillId="32" borderId="0" xfId="0" applyFont="1" applyFill="1" applyAlignment="1">
      <alignment vertical="top" wrapText="1"/>
    </xf>
    <xf numFmtId="0" fontId="0" fillId="40" borderId="1" xfId="0" applyFill="1" applyBorder="1"/>
    <xf numFmtId="0" fontId="0" fillId="40" borderId="37" xfId="0" applyFill="1" applyBorder="1"/>
    <xf numFmtId="0" fontId="0" fillId="40" borderId="38" xfId="0" applyFill="1" applyBorder="1"/>
    <xf numFmtId="0" fontId="0" fillId="40" borderId="10" xfId="0" applyFill="1" applyBorder="1" applyAlignment="1">
      <alignment wrapText="1"/>
    </xf>
    <xf numFmtId="0" fontId="0" fillId="40" borderId="20" xfId="0" applyFill="1" applyBorder="1"/>
    <xf numFmtId="0" fontId="0" fillId="40" borderId="21" xfId="0" applyFill="1" applyBorder="1"/>
    <xf numFmtId="0" fontId="0" fillId="40" borderId="29" xfId="0" applyFill="1" applyBorder="1" applyAlignment="1">
      <alignment wrapText="1"/>
    </xf>
    <xf numFmtId="0" fontId="0" fillId="40" borderId="19" xfId="0" applyFill="1" applyBorder="1" applyAlignment="1">
      <alignment wrapText="1"/>
    </xf>
    <xf numFmtId="0" fontId="0" fillId="40" borderId="30" xfId="0" applyFill="1" applyBorder="1" applyAlignment="1">
      <alignment wrapText="1"/>
    </xf>
    <xf numFmtId="0" fontId="63" fillId="32" borderId="39" xfId="0" applyFont="1" applyFill="1" applyBorder="1" applyAlignment="1">
      <alignment horizontal="center"/>
    </xf>
    <xf numFmtId="0" fontId="0" fillId="32" borderId="19" xfId="0" applyFill="1" applyBorder="1"/>
    <xf numFmtId="0" fontId="0" fillId="32" borderId="30" xfId="0" applyFill="1" applyBorder="1" applyAlignment="1">
      <alignment horizontal="center"/>
    </xf>
    <xf numFmtId="0" fontId="54" fillId="0" borderId="41" xfId="0" applyFont="1" applyBorder="1" applyAlignment="1">
      <alignment horizontal="center" vertical="center" wrapText="1"/>
    </xf>
    <xf numFmtId="0" fontId="41" fillId="0" borderId="0" xfId="0" applyFont="1"/>
    <xf numFmtId="0" fontId="64" fillId="32" borderId="39" xfId="0" applyFont="1" applyFill="1" applyBorder="1" applyAlignment="1">
      <alignment horizontal="center"/>
    </xf>
    <xf numFmtId="9" fontId="26" fillId="32" borderId="39" xfId="33" applyFont="1" applyFill="1" applyBorder="1" applyAlignment="1">
      <alignment horizontal="center"/>
    </xf>
    <xf numFmtId="0" fontId="65" fillId="32" borderId="37" xfId="0" applyFont="1" applyFill="1" applyBorder="1"/>
    <xf numFmtId="0" fontId="65" fillId="32" borderId="42" xfId="0" applyFont="1" applyFill="1" applyBorder="1"/>
    <xf numFmtId="0" fontId="65" fillId="0" borderId="37" xfId="0" applyFont="1" applyBorder="1"/>
    <xf numFmtId="0" fontId="65" fillId="0" borderId="42" xfId="0" applyFont="1" applyBorder="1"/>
    <xf numFmtId="0" fontId="65" fillId="32" borderId="43" xfId="0" applyFont="1" applyFill="1" applyBorder="1"/>
    <xf numFmtId="0" fontId="38" fillId="32" borderId="0" xfId="32" applyFill="1"/>
    <xf numFmtId="0" fontId="65" fillId="32" borderId="0" xfId="32" applyFont="1" applyFill="1"/>
    <xf numFmtId="0" fontId="54" fillId="32" borderId="1" xfId="32" applyFont="1" applyFill="1" applyBorder="1" applyAlignment="1">
      <alignment horizontal="center"/>
    </xf>
    <xf numFmtId="0" fontId="41" fillId="32" borderId="1" xfId="0" applyFont="1" applyFill="1" applyBorder="1" applyAlignment="1">
      <alignment horizontal="left" textRotation="45"/>
    </xf>
    <xf numFmtId="0" fontId="48" fillId="32" borderId="1" xfId="0" applyFont="1" applyFill="1" applyBorder="1"/>
    <xf numFmtId="0" fontId="0" fillId="32" borderId="1" xfId="0" applyFill="1" applyBorder="1" applyAlignment="1">
      <alignment horizontal="center"/>
    </xf>
    <xf numFmtId="0" fontId="0" fillId="32" borderId="22" xfId="0" applyFill="1" applyBorder="1" applyAlignment="1">
      <alignment horizontal="center"/>
    </xf>
    <xf numFmtId="0" fontId="0" fillId="32" borderId="23" xfId="0" applyFill="1" applyBorder="1" applyAlignment="1">
      <alignment horizontal="center" vertical="center"/>
    </xf>
    <xf numFmtId="0" fontId="66" fillId="32" borderId="1" xfId="0" applyFont="1" applyFill="1" applyBorder="1" applyAlignment="1">
      <alignment horizontal="center"/>
    </xf>
    <xf numFmtId="0" fontId="49" fillId="32" borderId="1" xfId="0" applyFont="1" applyFill="1" applyBorder="1"/>
    <xf numFmtId="0" fontId="50" fillId="32" borderId="1" xfId="0" applyFont="1" applyFill="1" applyBorder="1" applyAlignment="1">
      <alignment horizontal="left" vertical="top" wrapText="1"/>
    </xf>
    <xf numFmtId="0" fontId="51" fillId="32" borderId="1" xfId="0" applyFont="1" applyFill="1" applyBorder="1" applyAlignment="1">
      <alignment horizontal="left" vertical="top" wrapText="1"/>
    </xf>
    <xf numFmtId="0" fontId="53" fillId="32" borderId="1" xfId="0" applyFont="1" applyFill="1" applyBorder="1" applyAlignment="1">
      <alignment horizontal="left" vertical="top" wrapText="1"/>
    </xf>
    <xf numFmtId="0" fontId="0" fillId="32" borderId="1" xfId="0" applyFont="1" applyFill="1" applyBorder="1" applyAlignment="1">
      <alignment horizontal="center"/>
    </xf>
    <xf numFmtId="0" fontId="52" fillId="32" borderId="1" xfId="0" applyFont="1" applyFill="1" applyBorder="1" applyAlignment="1">
      <alignment horizontal="left" vertical="top" wrapText="1"/>
    </xf>
    <xf numFmtId="0" fontId="0" fillId="32" borderId="2" xfId="0" applyFill="1" applyBorder="1"/>
    <xf numFmtId="0" fontId="0" fillId="32" borderId="0" xfId="0" applyFill="1" applyBorder="1" applyAlignment="1">
      <alignment horizontal="center" vertical="center" wrapText="1"/>
    </xf>
    <xf numFmtId="0" fontId="0" fillId="32" borderId="0" xfId="0" applyFill="1" applyBorder="1" applyAlignment="1">
      <alignment vertical="center"/>
    </xf>
    <xf numFmtId="0" fontId="0" fillId="32" borderId="0" xfId="0" applyFill="1" applyBorder="1" applyAlignment="1">
      <alignment vertical="center" wrapText="1"/>
    </xf>
    <xf numFmtId="0" fontId="0" fillId="32" borderId="0" xfId="0" applyFill="1" applyBorder="1" applyAlignment="1">
      <alignment horizontal="center" wrapText="1"/>
    </xf>
    <xf numFmtId="0" fontId="67" fillId="59" borderId="0" xfId="0" applyFont="1" applyFill="1"/>
    <xf numFmtId="0" fontId="60" fillId="32" borderId="0" xfId="0" applyFont="1" applyFill="1"/>
    <xf numFmtId="0" fontId="0" fillId="32" borderId="0" xfId="0" applyFill="1" applyAlignment="1">
      <alignment horizontal="center" vertical="center"/>
    </xf>
    <xf numFmtId="0" fontId="0" fillId="32" borderId="0" xfId="0" applyFill="1" applyBorder="1" applyAlignment="1">
      <alignment horizontal="center" vertical="center"/>
    </xf>
    <xf numFmtId="0" fontId="32" fillId="32" borderId="0" xfId="0" applyFont="1" applyFill="1"/>
    <xf numFmtId="0" fontId="32" fillId="32" borderId="0" xfId="0" applyFont="1" applyFill="1" applyBorder="1"/>
    <xf numFmtId="1" fontId="69" fillId="0" borderId="1" xfId="0" applyNumberFormat="1" applyFont="1" applyFill="1" applyBorder="1" applyProtection="1">
      <protection locked="0"/>
    </xf>
    <xf numFmtId="0" fontId="0" fillId="46" borderId="2" xfId="0" applyFill="1" applyBorder="1"/>
    <xf numFmtId="0" fontId="38" fillId="32" borderId="6" xfId="32" applyFill="1" applyBorder="1"/>
    <xf numFmtId="0" fontId="38" fillId="32" borderId="0" xfId="32" applyFill="1" applyBorder="1"/>
    <xf numFmtId="0" fontId="0" fillId="32" borderId="6" xfId="0" applyFill="1" applyBorder="1"/>
    <xf numFmtId="0" fontId="0" fillId="40" borderId="2" xfId="0" applyFill="1" applyBorder="1"/>
    <xf numFmtId="0" fontId="38" fillId="0" borderId="0" xfId="32" applyBorder="1"/>
    <xf numFmtId="0" fontId="0" fillId="57" borderId="0" xfId="0" applyFill="1" applyBorder="1"/>
    <xf numFmtId="0" fontId="0" fillId="57" borderId="6" xfId="0" applyFill="1" applyBorder="1"/>
    <xf numFmtId="0" fontId="0" fillId="32" borderId="11" xfId="0" applyFill="1" applyBorder="1"/>
    <xf numFmtId="0" fontId="0" fillId="57" borderId="11" xfId="0" applyFill="1" applyBorder="1"/>
    <xf numFmtId="0" fontId="0" fillId="57" borderId="5" xfId="0" applyFill="1" applyBorder="1"/>
    <xf numFmtId="0" fontId="0" fillId="46" borderId="8" xfId="0" applyFill="1" applyBorder="1"/>
    <xf numFmtId="0" fontId="0" fillId="32" borderId="28" xfId="0" applyFill="1" applyBorder="1"/>
    <xf numFmtId="0" fontId="38" fillId="32" borderId="4" xfId="32" applyFill="1" applyBorder="1"/>
    <xf numFmtId="0" fontId="41" fillId="32" borderId="0" xfId="0" applyFont="1" applyFill="1" applyBorder="1"/>
    <xf numFmtId="0" fontId="0" fillId="32" borderId="0" xfId="0" applyFill="1" applyBorder="1" applyAlignment="1">
      <alignment horizontal="left"/>
    </xf>
    <xf numFmtId="49" fontId="0" fillId="0" borderId="1" xfId="0" applyNumberFormat="1" applyBorder="1" applyAlignment="1" applyProtection="1">
      <alignment horizontal="center"/>
      <protection locked="0"/>
    </xf>
    <xf numFmtId="0" fontId="38" fillId="32" borderId="0" xfId="32" applyFill="1" applyBorder="1" applyAlignment="1">
      <alignment horizontal="left"/>
    </xf>
    <xf numFmtId="0" fontId="0" fillId="32" borderId="6" xfId="0" applyFill="1" applyBorder="1" applyAlignment="1">
      <alignment horizontal="left"/>
    </xf>
    <xf numFmtId="0" fontId="0" fillId="45" borderId="1" xfId="0" applyFill="1" applyBorder="1" applyAlignment="1" applyProtection="1">
      <alignment horizontal="center" wrapText="1"/>
      <protection locked="0"/>
    </xf>
    <xf numFmtId="0" fontId="0" fillId="45" borderId="1" xfId="0" applyFont="1" applyFill="1" applyBorder="1" applyAlignment="1" applyProtection="1">
      <alignment horizontal="center" wrapText="1"/>
      <protection locked="0"/>
    </xf>
    <xf numFmtId="0" fontId="0" fillId="0" borderId="6" xfId="0" applyBorder="1" applyAlignment="1">
      <alignment vertical="center"/>
    </xf>
    <xf numFmtId="0" fontId="38" fillId="32" borderId="6" xfId="32" applyFill="1" applyBorder="1" applyAlignment="1">
      <alignment horizontal="left"/>
    </xf>
    <xf numFmtId="0" fontId="0" fillId="32" borderId="6" xfId="0" applyFill="1" applyBorder="1" applyAlignment="1">
      <alignment vertical="center" wrapText="1"/>
    </xf>
    <xf numFmtId="0" fontId="0" fillId="32" borderId="6" xfId="0" applyFill="1" applyBorder="1" applyAlignment="1">
      <alignment vertical="center"/>
    </xf>
    <xf numFmtId="0" fontId="89" fillId="0" borderId="1" xfId="42" applyFont="1" applyFill="1" applyBorder="1" applyAlignment="1">
      <alignment horizontal="left" textRotation="45" wrapText="1"/>
    </xf>
    <xf numFmtId="0" fontId="89" fillId="0" borderId="1" xfId="42" applyFont="1" applyBorder="1" applyAlignment="1">
      <alignment textRotation="45" wrapText="1"/>
    </xf>
    <xf numFmtId="0" fontId="43" fillId="42" borderId="25" xfId="0" applyFont="1" applyFill="1" applyBorder="1" applyAlignment="1">
      <alignment horizontal="center" textRotation="45" wrapText="1"/>
    </xf>
    <xf numFmtId="0" fontId="43" fillId="34" borderId="25" xfId="0" applyFont="1" applyFill="1" applyBorder="1" applyAlignment="1">
      <alignment horizontal="center" textRotation="45" wrapText="1"/>
    </xf>
    <xf numFmtId="0" fontId="43" fillId="42" borderId="40" xfId="0" applyFont="1" applyFill="1" applyBorder="1" applyAlignment="1">
      <alignment horizontal="center" textRotation="45" wrapText="1"/>
    </xf>
    <xf numFmtId="0" fontId="0" fillId="32" borderId="0" xfId="0" applyFill="1" applyBorder="1" applyAlignment="1">
      <alignment horizontal="center"/>
    </xf>
    <xf numFmtId="0" fontId="74" fillId="32" borderId="0" xfId="32" applyFont="1" applyFill="1" applyAlignment="1">
      <alignment horizontal="center" vertical="center" wrapText="1"/>
    </xf>
    <xf numFmtId="0" fontId="74" fillId="32" borderId="0" xfId="32" applyFont="1" applyFill="1" applyAlignment="1">
      <alignment horizontal="center" vertical="center" wrapText="1"/>
    </xf>
    <xf numFmtId="0" fontId="0" fillId="0" borderId="0" xfId="0" applyNumberFormat="1" applyFill="1" applyBorder="1" applyAlignment="1" applyProtection="1">
      <alignment horizontal="center"/>
      <protection locked="0"/>
    </xf>
    <xf numFmtId="0" fontId="41" fillId="32" borderId="0" xfId="0" applyFont="1" applyFill="1" applyBorder="1" applyAlignment="1">
      <alignment horizontal="left" textRotation="45"/>
    </xf>
    <xf numFmtId="0" fontId="0" fillId="32" borderId="0" xfId="0" applyFont="1" applyFill="1" applyBorder="1" applyAlignment="1">
      <alignment horizontal="center"/>
    </xf>
    <xf numFmtId="167" fontId="0" fillId="0" borderId="1" xfId="0" applyNumberFormat="1" applyFill="1" applyBorder="1" applyAlignment="1" applyProtection="1">
      <alignment horizontal="center"/>
      <protection locked="0"/>
    </xf>
    <xf numFmtId="0" fontId="43" fillId="58" borderId="67" xfId="0" applyFont="1" applyFill="1" applyBorder="1" applyAlignment="1">
      <alignment horizontal="center" vertical="center"/>
    </xf>
    <xf numFmtId="0" fontId="0" fillId="32" borderId="52" xfId="0" applyFill="1" applyBorder="1"/>
    <xf numFmtId="0" fontId="0" fillId="32" borderId="28" xfId="0" applyFill="1" applyBorder="1" applyAlignment="1"/>
    <xf numFmtId="0" fontId="45" fillId="32" borderId="6" xfId="0" applyFont="1" applyFill="1" applyBorder="1"/>
    <xf numFmtId="0" fontId="43" fillId="58" borderId="25" xfId="0" applyFont="1" applyFill="1" applyBorder="1" applyAlignment="1">
      <alignment horizontal="center" textRotation="45" wrapText="1"/>
    </xf>
    <xf numFmtId="0" fontId="74" fillId="32" borderId="0" xfId="32" applyFont="1" applyFill="1" applyAlignment="1">
      <alignment horizontal="center" vertical="center" wrapText="1"/>
    </xf>
    <xf numFmtId="1" fontId="69" fillId="0" borderId="17" xfId="0" applyNumberFormat="1" applyFont="1" applyFill="1" applyBorder="1" applyProtection="1">
      <protection locked="0"/>
    </xf>
    <xf numFmtId="0" fontId="74" fillId="32" borderId="0" xfId="32" applyFont="1" applyFill="1" applyAlignment="1">
      <alignment horizontal="center" vertical="center" wrapText="1"/>
    </xf>
    <xf numFmtId="0" fontId="0" fillId="46" borderId="2" xfId="0" applyFill="1" applyBorder="1" applyAlignment="1">
      <alignment horizontal="center"/>
    </xf>
    <xf numFmtId="0" fontId="0" fillId="49" borderId="23" xfId="0" applyFill="1" applyBorder="1" applyAlignment="1" applyProtection="1">
      <alignment horizontal="center"/>
      <protection locked="0"/>
    </xf>
    <xf numFmtId="0" fontId="0" fillId="45" borderId="23" xfId="0" applyFill="1" applyBorder="1" applyAlignment="1" applyProtection="1">
      <alignment horizontal="center"/>
      <protection locked="0"/>
    </xf>
    <xf numFmtId="0" fontId="0" fillId="30" borderId="23" xfId="0" applyFill="1" applyBorder="1" applyAlignment="1" applyProtection="1">
      <alignment horizontal="center"/>
      <protection locked="0"/>
    </xf>
    <xf numFmtId="0" fontId="0" fillId="35" borderId="23" xfId="0" applyFill="1" applyBorder="1" applyAlignment="1" applyProtection="1">
      <alignment horizontal="center"/>
      <protection locked="0"/>
    </xf>
    <xf numFmtId="0" fontId="0" fillId="45" borderId="23" xfId="0" applyFill="1" applyBorder="1" applyAlignment="1" applyProtection="1">
      <alignment horizontal="center" wrapText="1"/>
      <protection locked="0"/>
    </xf>
    <xf numFmtId="167" fontId="0" fillId="0" borderId="23" xfId="0" applyNumberFormat="1" applyFill="1" applyBorder="1" applyAlignment="1" applyProtection="1">
      <alignment horizontal="center"/>
      <protection locked="0"/>
    </xf>
    <xf numFmtId="0" fontId="0" fillId="0" borderId="23" xfId="0" applyNumberFormat="1" applyFill="1" applyBorder="1" applyAlignment="1" applyProtection="1">
      <alignment horizontal="center"/>
      <protection locked="0"/>
    </xf>
    <xf numFmtId="0" fontId="0" fillId="45" borderId="23" xfId="0" applyFont="1" applyFill="1" applyBorder="1" applyAlignment="1" applyProtection="1">
      <alignment horizontal="center"/>
      <protection locked="0"/>
    </xf>
    <xf numFmtId="0" fontId="0" fillId="62" borderId="1" xfId="0" applyFill="1" applyBorder="1" applyAlignment="1" applyProtection="1">
      <alignment horizontal="center"/>
      <protection locked="0"/>
    </xf>
    <xf numFmtId="0" fontId="45" fillId="35" borderId="1" xfId="0" applyFont="1" applyFill="1" applyBorder="1" applyAlignment="1" applyProtection="1">
      <alignment horizontal="center"/>
      <protection locked="0"/>
    </xf>
    <xf numFmtId="0" fontId="0" fillId="0" borderId="0" xfId="0" applyNumberFormat="1"/>
    <xf numFmtId="0" fontId="0" fillId="63" borderId="1" xfId="0" applyFill="1" applyBorder="1" applyAlignment="1" applyProtection="1">
      <alignment horizontal="center"/>
      <protection locked="0"/>
    </xf>
    <xf numFmtId="0" fontId="45" fillId="30" borderId="1" xfId="0" applyFont="1" applyFill="1" applyBorder="1" applyAlignment="1" applyProtection="1">
      <alignment horizontal="center"/>
      <protection locked="0"/>
    </xf>
    <xf numFmtId="0" fontId="0" fillId="45" borderId="0" xfId="0" applyFill="1" applyBorder="1" applyAlignment="1" applyProtection="1">
      <alignment horizontal="center"/>
      <protection locked="0"/>
    </xf>
    <xf numFmtId="0" fontId="0" fillId="63" borderId="1" xfId="0" applyFill="1" applyBorder="1" applyAlignment="1" applyProtection="1">
      <alignment horizontal="center" wrapText="1"/>
      <protection locked="0"/>
    </xf>
    <xf numFmtId="0" fontId="0" fillId="63" borderId="1" xfId="0" applyFont="1" applyFill="1" applyBorder="1" applyAlignment="1" applyProtection="1">
      <alignment horizontal="center"/>
      <protection locked="0"/>
    </xf>
    <xf numFmtId="167" fontId="0" fillId="63" borderId="1" xfId="0" applyNumberFormat="1" applyFill="1" applyBorder="1" applyAlignment="1" applyProtection="1">
      <alignment horizontal="center"/>
      <protection locked="0"/>
    </xf>
    <xf numFmtId="0" fontId="0" fillId="63" borderId="1" xfId="0" applyNumberFormat="1" applyFill="1" applyBorder="1" applyAlignment="1" applyProtection="1">
      <alignment horizontal="center"/>
      <protection locked="0"/>
    </xf>
    <xf numFmtId="0" fontId="0" fillId="49" borderId="1" xfId="0" applyFill="1" applyBorder="1" applyAlignment="1">
      <alignment horizontal="center"/>
    </xf>
    <xf numFmtId="0" fontId="0" fillId="49" borderId="1" xfId="0" applyFont="1" applyFill="1" applyBorder="1" applyAlignment="1">
      <alignment horizontal="center"/>
    </xf>
    <xf numFmtId="0" fontId="89" fillId="0" borderId="23" xfId="42" applyFont="1" applyBorder="1" applyAlignment="1">
      <alignment textRotation="45" wrapText="1"/>
    </xf>
    <xf numFmtId="0" fontId="0" fillId="49" borderId="22" xfId="0" applyFill="1" applyBorder="1" applyAlignment="1" applyProtection="1">
      <alignment horizontal="center"/>
      <protection locked="0"/>
    </xf>
    <xf numFmtId="0" fontId="0" fillId="49" borderId="1" xfId="0" applyFill="1" applyBorder="1" applyAlignment="1" applyProtection="1">
      <alignment horizontal="center" vertical="center"/>
      <protection locked="0"/>
    </xf>
    <xf numFmtId="0" fontId="0" fillId="0" borderId="1" xfId="0" applyFill="1" applyBorder="1" applyAlignment="1" applyProtection="1">
      <alignment horizontal="center"/>
      <protection locked="0"/>
    </xf>
    <xf numFmtId="167" fontId="0" fillId="0" borderId="0" xfId="0" applyNumberFormat="1" applyBorder="1" applyAlignment="1" applyProtection="1">
      <alignment horizontal="center"/>
      <protection locked="0"/>
    </xf>
    <xf numFmtId="167" fontId="0" fillId="0" borderId="23" xfId="0" applyNumberFormat="1" applyBorder="1" applyAlignment="1" applyProtection="1">
      <alignment horizontal="center"/>
      <protection locked="0"/>
    </xf>
    <xf numFmtId="0" fontId="0" fillId="49" borderId="9" xfId="0" applyFont="1" applyFill="1" applyBorder="1" applyAlignment="1" applyProtection="1">
      <alignment horizontal="center"/>
      <protection locked="0"/>
    </xf>
    <xf numFmtId="0" fontId="0" fillId="32" borderId="1" xfId="0" applyFill="1" applyBorder="1" applyAlignment="1">
      <alignment horizontal="center" vertical="center"/>
    </xf>
    <xf numFmtId="0" fontId="0" fillId="32" borderId="23" xfId="0" applyFill="1" applyBorder="1" applyAlignment="1">
      <alignment horizontal="center"/>
    </xf>
    <xf numFmtId="0" fontId="68" fillId="32" borderId="41" xfId="0" applyFont="1" applyFill="1" applyBorder="1" applyAlignment="1" applyProtection="1">
      <alignment horizontal="right"/>
      <protection locked="0"/>
    </xf>
    <xf numFmtId="0" fontId="0" fillId="32" borderId="53" xfId="0" applyFill="1" applyBorder="1" applyProtection="1">
      <protection locked="0"/>
    </xf>
    <xf numFmtId="0" fontId="0" fillId="32" borderId="44" xfId="0" applyFill="1" applyBorder="1" applyProtection="1">
      <protection locked="0"/>
    </xf>
    <xf numFmtId="0" fontId="0" fillId="32" borderId="49" xfId="0" applyFill="1" applyBorder="1" applyProtection="1">
      <protection locked="0"/>
    </xf>
    <xf numFmtId="1" fontId="93" fillId="0" borderId="52" xfId="0" applyNumberFormat="1" applyFont="1" applyFill="1" applyBorder="1" applyAlignment="1" applyProtection="1">
      <alignment horizontal="right"/>
      <protection locked="0"/>
    </xf>
    <xf numFmtId="0" fontId="68" fillId="32" borderId="45" xfId="0" applyFont="1" applyFill="1" applyBorder="1" applyAlignment="1" applyProtection="1">
      <alignment horizontal="right"/>
      <protection locked="0"/>
    </xf>
    <xf numFmtId="0" fontId="0" fillId="32" borderId="20" xfId="0" applyFill="1" applyBorder="1" applyProtection="1">
      <protection locked="0"/>
    </xf>
    <xf numFmtId="0" fontId="0" fillId="32" borderId="46" xfId="0" applyFill="1" applyBorder="1" applyProtection="1">
      <protection locked="0"/>
    </xf>
    <xf numFmtId="0" fontId="0" fillId="32" borderId="50" xfId="0" applyFill="1" applyBorder="1" applyProtection="1">
      <protection locked="0"/>
    </xf>
    <xf numFmtId="0" fontId="92" fillId="32" borderId="45" xfId="0" applyFont="1" applyFill="1" applyBorder="1" applyAlignment="1" applyProtection="1">
      <alignment horizontal="right"/>
      <protection locked="0"/>
    </xf>
    <xf numFmtId="0" fontId="0" fillId="32" borderId="34" xfId="0" applyFill="1" applyBorder="1" applyProtection="1">
      <protection locked="0"/>
    </xf>
    <xf numFmtId="0" fontId="0" fillId="32" borderId="14" xfId="0" applyFill="1" applyBorder="1" applyProtection="1">
      <protection locked="0"/>
    </xf>
    <xf numFmtId="0" fontId="0" fillId="32" borderId="35" xfId="0" applyFill="1" applyBorder="1" applyProtection="1">
      <protection locked="0"/>
    </xf>
    <xf numFmtId="0" fontId="0" fillId="32" borderId="20" xfId="0" applyFill="1" applyBorder="1" applyAlignment="1" applyProtection="1">
      <alignment horizontal="center"/>
      <protection locked="0"/>
    </xf>
    <xf numFmtId="0" fontId="0" fillId="32" borderId="46" xfId="0" applyFill="1" applyBorder="1" applyAlignment="1" applyProtection="1">
      <alignment horizontal="center"/>
      <protection locked="0"/>
    </xf>
    <xf numFmtId="0" fontId="0" fillId="32" borderId="50" xfId="0" applyFill="1" applyBorder="1" applyAlignment="1" applyProtection="1">
      <alignment horizontal="center"/>
      <protection locked="0"/>
    </xf>
    <xf numFmtId="0" fontId="92" fillId="32" borderId="77" xfId="0" applyFont="1" applyFill="1" applyBorder="1" applyAlignment="1" applyProtection="1">
      <alignment horizontal="right"/>
      <protection locked="0"/>
    </xf>
    <xf numFmtId="0" fontId="0" fillId="32" borderId="34" xfId="0" applyFill="1" applyBorder="1" applyAlignment="1" applyProtection="1">
      <alignment horizontal="center"/>
      <protection locked="0"/>
    </xf>
    <xf numFmtId="0" fontId="0" fillId="32" borderId="14" xfId="0" applyFill="1" applyBorder="1" applyAlignment="1" applyProtection="1">
      <alignment horizontal="center"/>
      <protection locked="0"/>
    </xf>
    <xf numFmtId="0" fontId="0" fillId="32" borderId="35" xfId="0" applyFill="1" applyBorder="1" applyAlignment="1" applyProtection="1">
      <alignment horizontal="center"/>
      <protection locked="0"/>
    </xf>
    <xf numFmtId="0" fontId="68" fillId="32" borderId="47" xfId="0" applyFont="1" applyFill="1" applyBorder="1" applyAlignment="1" applyProtection="1">
      <alignment horizontal="right"/>
      <protection locked="0"/>
    </xf>
    <xf numFmtId="0" fontId="0" fillId="32" borderId="21" xfId="0" applyFill="1" applyBorder="1" applyAlignment="1" applyProtection="1">
      <alignment horizontal="center"/>
      <protection locked="0"/>
    </xf>
    <xf numFmtId="0" fontId="0" fillId="32" borderId="48" xfId="0" applyFill="1" applyBorder="1" applyAlignment="1" applyProtection="1">
      <alignment horizontal="center"/>
      <protection locked="0"/>
    </xf>
    <xf numFmtId="0" fontId="0" fillId="32" borderId="51" xfId="0" applyFill="1" applyBorder="1" applyAlignment="1" applyProtection="1">
      <alignment horizontal="center"/>
      <protection locked="0"/>
    </xf>
    <xf numFmtId="0" fontId="0" fillId="32" borderId="0" xfId="0" applyFill="1" applyBorder="1" applyAlignment="1">
      <alignment horizontal="left"/>
    </xf>
    <xf numFmtId="0" fontId="0" fillId="32" borderId="0" xfId="0" applyFill="1" applyBorder="1" applyAlignment="1">
      <alignment horizontal="left"/>
    </xf>
    <xf numFmtId="0" fontId="89" fillId="0" borderId="23" xfId="42" applyFont="1" applyFill="1" applyBorder="1" applyAlignment="1">
      <alignment horizontal="left" textRotation="45" wrapText="1"/>
    </xf>
    <xf numFmtId="0" fontId="31" fillId="32" borderId="0" xfId="0" applyFont="1" applyFill="1"/>
    <xf numFmtId="0" fontId="52" fillId="32" borderId="0" xfId="0" applyFont="1" applyFill="1" applyBorder="1" applyAlignment="1">
      <alignment horizontal="left" vertical="top" wrapText="1"/>
    </xf>
    <xf numFmtId="0" fontId="75" fillId="32" borderId="0" xfId="0" applyFont="1" applyFill="1" applyBorder="1" applyAlignment="1">
      <alignment horizontal="center" vertical="center" wrapText="1"/>
    </xf>
    <xf numFmtId="0" fontId="75" fillId="32" borderId="0" xfId="0" applyFont="1" applyFill="1" applyBorder="1" applyAlignment="1">
      <alignment horizontal="center" vertical="top" wrapText="1"/>
    </xf>
    <xf numFmtId="0" fontId="58" fillId="32" borderId="0" xfId="0" applyFont="1" applyFill="1" applyBorder="1" applyAlignment="1">
      <alignment horizontal="left" textRotation="45" wrapText="1"/>
    </xf>
    <xf numFmtId="0" fontId="0" fillId="32" borderId="0" xfId="0" applyFill="1" applyBorder="1" applyAlignment="1" applyProtection="1">
      <alignment horizontal="center"/>
      <protection locked="0"/>
    </xf>
    <xf numFmtId="0" fontId="0" fillId="32" borderId="0" xfId="0" applyFill="1" applyBorder="1" applyAlignment="1" applyProtection="1">
      <alignment horizontal="center" wrapText="1"/>
      <protection locked="0"/>
    </xf>
    <xf numFmtId="0" fontId="0" fillId="32" borderId="0" xfId="0" applyFont="1" applyFill="1" applyBorder="1" applyAlignment="1" applyProtection="1">
      <alignment horizontal="center"/>
      <protection locked="0"/>
    </xf>
    <xf numFmtId="167" fontId="0" fillId="32" borderId="0" xfId="0" applyNumberFormat="1" applyFill="1" applyBorder="1" applyAlignment="1" applyProtection="1">
      <alignment horizontal="center"/>
      <protection locked="0"/>
    </xf>
    <xf numFmtId="0" fontId="0" fillId="32" borderId="0" xfId="0" applyNumberFormat="1" applyFill="1" applyBorder="1" applyAlignment="1" applyProtection="1">
      <alignment horizontal="center"/>
      <protection locked="0"/>
    </xf>
    <xf numFmtId="0" fontId="0" fillId="35" borderId="46" xfId="0" applyFill="1" applyBorder="1" applyAlignment="1" applyProtection="1">
      <alignment horizontal="center"/>
      <protection locked="0"/>
    </xf>
    <xf numFmtId="0" fontId="0" fillId="30" borderId="46" xfId="0" applyFill="1" applyBorder="1" applyAlignment="1" applyProtection="1">
      <alignment horizontal="center"/>
      <protection locked="0"/>
    </xf>
    <xf numFmtId="0" fontId="0" fillId="49" borderId="46" xfId="0" applyFill="1" applyBorder="1" applyAlignment="1" applyProtection="1">
      <alignment horizontal="center"/>
      <protection locked="0"/>
    </xf>
    <xf numFmtId="0" fontId="0" fillId="45" borderId="46" xfId="0" applyFill="1" applyBorder="1" applyAlignment="1" applyProtection="1">
      <alignment horizontal="center"/>
      <protection locked="0"/>
    </xf>
    <xf numFmtId="0" fontId="0" fillId="45" borderId="46" xfId="0" applyFill="1" applyBorder="1" applyAlignment="1" applyProtection="1">
      <alignment horizontal="center" wrapText="1"/>
      <protection locked="0"/>
    </xf>
    <xf numFmtId="0" fontId="0" fillId="30" borderId="46" xfId="0" applyFont="1" applyFill="1" applyBorder="1" applyAlignment="1" applyProtection="1">
      <alignment horizontal="center"/>
      <protection locked="0"/>
    </xf>
    <xf numFmtId="0" fontId="58" fillId="63" borderId="1" xfId="0" applyFont="1" applyFill="1" applyBorder="1" applyAlignment="1">
      <alignment horizontal="left" textRotation="45" wrapText="1"/>
    </xf>
    <xf numFmtId="0" fontId="0" fillId="63" borderId="1" xfId="0" applyFill="1" applyBorder="1" applyAlignment="1" applyProtection="1">
      <alignment horizontal="center" vertical="center"/>
      <protection locked="0"/>
    </xf>
    <xf numFmtId="0" fontId="54" fillId="0" borderId="44" xfId="0" applyFont="1" applyBorder="1" applyAlignment="1">
      <alignment horizontal="center" vertical="center"/>
    </xf>
    <xf numFmtId="0" fontId="42" fillId="43" borderId="46" xfId="0" applyFont="1" applyFill="1" applyBorder="1" applyAlignment="1">
      <alignment horizontal="center" vertical="center"/>
    </xf>
    <xf numFmtId="0" fontId="42" fillId="34" borderId="46" xfId="0" applyFont="1" applyFill="1" applyBorder="1" applyAlignment="1">
      <alignment horizontal="center" vertical="center"/>
    </xf>
    <xf numFmtId="0" fontId="42" fillId="38" borderId="46" xfId="0" applyFont="1" applyFill="1" applyBorder="1" applyAlignment="1">
      <alignment horizontal="center" vertical="center"/>
    </xf>
    <xf numFmtId="0" fontId="42" fillId="36" borderId="46" xfId="0" applyFont="1" applyFill="1" applyBorder="1" applyAlignment="1">
      <alignment horizontal="center" vertical="center"/>
    </xf>
    <xf numFmtId="0" fontId="42" fillId="42" borderId="46" xfId="0" applyFont="1" applyFill="1" applyBorder="1" applyAlignment="1">
      <alignment horizontal="center" vertical="center"/>
    </xf>
    <xf numFmtId="0" fontId="42" fillId="41" borderId="46" xfId="0" applyFont="1" applyFill="1" applyBorder="1" applyAlignment="1">
      <alignment horizontal="center" vertical="center"/>
    </xf>
    <xf numFmtId="0" fontId="98" fillId="32" borderId="0" xfId="0" applyFont="1" applyFill="1" applyAlignment="1">
      <alignment horizontal="left" vertical="top" wrapText="1"/>
    </xf>
    <xf numFmtId="0" fontId="54" fillId="0" borderId="1" xfId="32" applyFont="1" applyBorder="1" applyAlignment="1">
      <alignment horizontal="center" wrapText="1"/>
    </xf>
    <xf numFmtId="49" fontId="2" fillId="54" borderId="1" xfId="0" applyNumberFormat="1" applyFont="1" applyFill="1" applyBorder="1" applyAlignment="1" applyProtection="1">
      <alignment horizontal="center" vertical="center"/>
      <protection locked="0"/>
    </xf>
    <xf numFmtId="0" fontId="70" fillId="32" borderId="28" xfId="0" applyFont="1" applyFill="1" applyBorder="1" applyAlignment="1">
      <alignment horizontal="center" vertical="center"/>
    </xf>
    <xf numFmtId="0" fontId="42" fillId="30" borderId="14" xfId="0" applyFont="1" applyFill="1" applyBorder="1" applyAlignment="1">
      <alignment horizontal="center" vertical="center"/>
    </xf>
    <xf numFmtId="0" fontId="42" fillId="37" borderId="69" xfId="0" applyFont="1" applyFill="1" applyBorder="1" applyAlignment="1">
      <alignment horizontal="center" vertical="center"/>
    </xf>
    <xf numFmtId="0" fontId="42" fillId="39" borderId="14" xfId="0" applyFont="1" applyFill="1" applyBorder="1" applyAlignment="1">
      <alignment horizontal="center" vertical="center"/>
    </xf>
    <xf numFmtId="0" fontId="42" fillId="40" borderId="0" xfId="0" applyFont="1" applyFill="1" applyBorder="1" applyAlignment="1">
      <alignment horizontal="center" vertical="center"/>
    </xf>
    <xf numFmtId="0" fontId="0" fillId="32" borderId="41" xfId="0" applyFill="1" applyBorder="1" applyProtection="1">
      <protection locked="0"/>
    </xf>
    <xf numFmtId="0" fontId="0" fillId="32" borderId="65" xfId="0" applyFill="1" applyBorder="1" applyProtection="1">
      <protection locked="0"/>
    </xf>
    <xf numFmtId="0" fontId="0" fillId="32" borderId="40" xfId="0" applyFill="1" applyBorder="1" applyProtection="1">
      <protection locked="0"/>
    </xf>
    <xf numFmtId="0" fontId="0" fillId="32" borderId="65" xfId="0" applyFill="1" applyBorder="1" applyAlignment="1" applyProtection="1">
      <alignment horizontal="center"/>
      <protection locked="0"/>
    </xf>
    <xf numFmtId="0" fontId="0" fillId="32" borderId="40" xfId="0" applyFill="1" applyBorder="1" applyAlignment="1" applyProtection="1">
      <alignment horizontal="center"/>
      <protection locked="0"/>
    </xf>
    <xf numFmtId="0" fontId="0" fillId="32" borderId="64" xfId="0" applyFill="1" applyBorder="1" applyAlignment="1" applyProtection="1">
      <alignment horizontal="center"/>
      <protection locked="0"/>
    </xf>
    <xf numFmtId="0" fontId="79" fillId="32" borderId="9" xfId="0" applyFont="1" applyFill="1" applyBorder="1" applyAlignment="1">
      <alignment horizontal="center" vertical="center" wrapText="1"/>
    </xf>
    <xf numFmtId="0" fontId="43" fillId="34" borderId="26" xfId="0" applyFont="1" applyFill="1" applyBorder="1" applyAlignment="1">
      <alignment horizontal="center" vertical="center" textRotation="45" wrapText="1"/>
    </xf>
    <xf numFmtId="0" fontId="43" fillId="42" borderId="2" xfId="0" applyFont="1" applyFill="1" applyBorder="1" applyAlignment="1">
      <alignment horizontal="center" textRotation="45" wrapText="1"/>
    </xf>
    <xf numFmtId="0" fontId="0" fillId="46" borderId="2" xfId="0" applyFill="1" applyBorder="1" applyAlignment="1">
      <alignment horizontal="center"/>
    </xf>
    <xf numFmtId="0" fontId="0" fillId="46" borderId="0" xfId="0" applyFill="1" applyBorder="1" applyAlignment="1">
      <alignment horizontal="center"/>
    </xf>
    <xf numFmtId="0" fontId="0" fillId="46" borderId="6" xfId="0" applyFill="1" applyBorder="1" applyAlignment="1">
      <alignment horizontal="center"/>
    </xf>
    <xf numFmtId="167" fontId="102" fillId="0" borderId="78" xfId="0" applyNumberFormat="1" applyFont="1" applyBorder="1" applyAlignment="1" applyProtection="1">
      <alignment horizontal="center"/>
      <protection locked="0"/>
    </xf>
    <xf numFmtId="1" fontId="103" fillId="32" borderId="19" xfId="0" applyNumberFormat="1" applyFont="1" applyFill="1" applyBorder="1" applyProtection="1">
      <protection locked="0"/>
    </xf>
    <xf numFmtId="1" fontId="103" fillId="55" borderId="19" xfId="0" applyNumberFormat="1" applyFont="1" applyFill="1" applyBorder="1" applyProtection="1">
      <protection locked="0"/>
    </xf>
    <xf numFmtId="0" fontId="103" fillId="32" borderId="19" xfId="0" applyFont="1" applyFill="1" applyBorder="1" applyProtection="1">
      <protection locked="0"/>
    </xf>
    <xf numFmtId="1" fontId="102" fillId="0" borderId="19" xfId="0" applyNumberFormat="1" applyFont="1" applyBorder="1" applyAlignment="1" applyProtection="1">
      <alignment horizontal="center"/>
      <protection locked="0"/>
    </xf>
    <xf numFmtId="0" fontId="102" fillId="58" borderId="25" xfId="0" applyFont="1" applyFill="1" applyBorder="1" applyAlignment="1" applyProtection="1">
      <alignment horizontal="center"/>
      <protection locked="0"/>
    </xf>
    <xf numFmtId="0" fontId="102" fillId="58" borderId="26" xfId="0" applyFont="1" applyFill="1" applyBorder="1" applyAlignment="1" applyProtection="1">
      <alignment horizontal="center"/>
      <protection locked="0"/>
    </xf>
    <xf numFmtId="0" fontId="102" fillId="58" borderId="40" xfId="0" applyFont="1" applyFill="1" applyBorder="1" applyAlignment="1" applyProtection="1">
      <alignment horizontal="center"/>
      <protection locked="0"/>
    </xf>
    <xf numFmtId="0" fontId="102" fillId="58" borderId="64" xfId="0" applyFont="1" applyFill="1" applyBorder="1" applyAlignment="1" applyProtection="1">
      <alignment horizontal="center"/>
      <protection locked="0"/>
    </xf>
    <xf numFmtId="1" fontId="30" fillId="0" borderId="0" xfId="30" applyNumberFormat="1" applyFont="1" applyBorder="1"/>
    <xf numFmtId="168" fontId="0" fillId="46" borderId="2" xfId="30" applyNumberFormat="1" applyFont="1" applyFill="1" applyBorder="1" applyAlignment="1">
      <alignment horizontal="center"/>
    </xf>
    <xf numFmtId="168" fontId="0" fillId="46" borderId="0" xfId="30" applyNumberFormat="1" applyFont="1" applyFill="1" applyBorder="1" applyAlignment="1">
      <alignment horizontal="center"/>
    </xf>
    <xf numFmtId="168" fontId="0" fillId="46" borderId="6" xfId="30" applyNumberFormat="1" applyFont="1" applyFill="1" applyBorder="1" applyAlignment="1">
      <alignment horizontal="center"/>
    </xf>
    <xf numFmtId="0" fontId="0" fillId="46" borderId="2" xfId="0" applyFill="1" applyBorder="1" applyAlignment="1">
      <alignment horizontal="left"/>
    </xf>
    <xf numFmtId="0" fontId="0" fillId="46" borderId="0" xfId="0" applyFill="1" applyBorder="1" applyAlignment="1">
      <alignment horizontal="left"/>
    </xf>
    <xf numFmtId="0" fontId="0" fillId="0" borderId="0" xfId="0" applyAlignment="1">
      <alignment horizontal="left"/>
    </xf>
    <xf numFmtId="0" fontId="68" fillId="32" borderId="77" xfId="0" applyFont="1" applyFill="1" applyBorder="1" applyAlignment="1" applyProtection="1">
      <alignment horizontal="right"/>
      <protection locked="0"/>
    </xf>
    <xf numFmtId="0" fontId="0" fillId="32" borderId="0" xfId="0" applyFill="1" applyAlignment="1">
      <alignment horizontal="center" vertical="top" wrapText="1"/>
    </xf>
    <xf numFmtId="0" fontId="0" fillId="32" borderId="0" xfId="0" applyFill="1" applyAlignment="1">
      <alignment horizontal="left" vertical="top" wrapText="1"/>
    </xf>
    <xf numFmtId="0" fontId="0" fillId="32" borderId="0" xfId="0" applyFill="1" applyBorder="1" applyAlignment="1">
      <alignment horizontal="center"/>
    </xf>
    <xf numFmtId="2" fontId="54" fillId="0" borderId="39" xfId="0" applyNumberFormat="1" applyFont="1" applyBorder="1" applyAlignment="1">
      <alignment horizontal="center" vertical="center" wrapText="1"/>
    </xf>
    <xf numFmtId="2" fontId="54" fillId="0" borderId="58" xfId="0" applyNumberFormat="1" applyFont="1" applyBorder="1" applyAlignment="1">
      <alignment horizontal="center" vertical="center" wrapText="1"/>
    </xf>
    <xf numFmtId="0" fontId="38" fillId="0" borderId="21" xfId="0" applyFont="1" applyBorder="1" applyAlignment="1">
      <alignment horizontal="left" vertical="center"/>
    </xf>
    <xf numFmtId="0" fontId="38" fillId="0" borderId="59" xfId="0" applyFont="1" applyBorder="1" applyAlignment="1">
      <alignment horizontal="left" vertical="center"/>
    </xf>
    <xf numFmtId="0" fontId="54" fillId="34" borderId="29" xfId="0" applyFont="1" applyFill="1" applyBorder="1" applyAlignment="1">
      <alignment horizontal="center" vertical="center" wrapText="1"/>
    </xf>
    <xf numFmtId="0" fontId="54" fillId="34" borderId="52" xfId="0" applyFont="1" applyFill="1" applyBorder="1" applyAlignment="1">
      <alignment horizontal="center" vertical="center" wrapText="1"/>
    </xf>
    <xf numFmtId="0" fontId="54" fillId="34" borderId="19" xfId="0" applyFont="1" applyFill="1" applyBorder="1" applyAlignment="1">
      <alignment horizontal="center" vertical="center" wrapText="1"/>
    </xf>
    <xf numFmtId="0" fontId="54" fillId="34" borderId="30" xfId="0" applyFont="1" applyFill="1" applyBorder="1" applyAlignment="1">
      <alignment horizontal="center" vertical="center" wrapText="1"/>
    </xf>
    <xf numFmtId="0" fontId="70" fillId="0" borderId="21" xfId="0" applyFont="1" applyBorder="1" applyAlignment="1">
      <alignment horizontal="center" vertical="center" wrapText="1"/>
    </xf>
    <xf numFmtId="0" fontId="70" fillId="0" borderId="48" xfId="0" applyFont="1" applyBorder="1" applyAlignment="1">
      <alignment horizontal="center" vertical="center" wrapText="1"/>
    </xf>
    <xf numFmtId="0" fontId="70" fillId="0" borderId="51" xfId="0" applyFont="1" applyBorder="1" applyAlignment="1">
      <alignment horizontal="center" vertical="center" wrapText="1"/>
    </xf>
    <xf numFmtId="0" fontId="58" fillId="0" borderId="53" xfId="0" applyFont="1" applyBorder="1" applyAlignment="1">
      <alignment horizontal="center" vertical="center"/>
    </xf>
    <xf numFmtId="0" fontId="58" fillId="0" borderId="44" xfId="0" applyFont="1" applyBorder="1" applyAlignment="1">
      <alignment horizontal="center" vertical="center"/>
    </xf>
    <xf numFmtId="0" fontId="58" fillId="0" borderId="49" xfId="0" applyFont="1" applyBorder="1" applyAlignment="1">
      <alignment horizontal="center" vertical="center"/>
    </xf>
    <xf numFmtId="0" fontId="38" fillId="32" borderId="20" xfId="0" applyFont="1" applyFill="1" applyBorder="1" applyAlignment="1">
      <alignment horizontal="left" vertical="center" wrapText="1"/>
    </xf>
    <xf numFmtId="0" fontId="38" fillId="32" borderId="12" xfId="0" applyFont="1" applyFill="1" applyBorder="1" applyAlignment="1">
      <alignment horizontal="left" vertical="center" wrapText="1"/>
    </xf>
    <xf numFmtId="0" fontId="38" fillId="32" borderId="21" xfId="0" applyFont="1" applyFill="1" applyBorder="1" applyAlignment="1">
      <alignment horizontal="left" vertical="center" wrapText="1"/>
    </xf>
    <xf numFmtId="0" fontId="38" fillId="32" borderId="48" xfId="0" applyFont="1" applyFill="1" applyBorder="1" applyAlignment="1">
      <alignment horizontal="left" vertical="center" wrapText="1"/>
    </xf>
    <xf numFmtId="0" fontId="54" fillId="32" borderId="39" xfId="0" applyFont="1" applyFill="1" applyBorder="1" applyAlignment="1">
      <alignment horizontal="center" vertical="center" wrapText="1"/>
    </xf>
    <xf numFmtId="0" fontId="54" fillId="32" borderId="57" xfId="0" applyFont="1" applyFill="1" applyBorder="1" applyAlignment="1">
      <alignment horizontal="center" vertical="center" wrapText="1"/>
    </xf>
    <xf numFmtId="0" fontId="58" fillId="0" borderId="60" xfId="0" applyFont="1" applyBorder="1" applyAlignment="1">
      <alignment horizontal="center" vertical="center" wrapText="1"/>
    </xf>
    <xf numFmtId="0" fontId="58" fillId="0" borderId="14" xfId="0" applyFont="1" applyBorder="1" applyAlignment="1">
      <alignment horizontal="center" vertical="center" wrapText="1"/>
    </xf>
    <xf numFmtId="0" fontId="58" fillId="0" borderId="61" xfId="0" applyFont="1" applyBorder="1" applyAlignment="1">
      <alignment horizontal="center" vertical="center" wrapText="1"/>
    </xf>
    <xf numFmtId="0" fontId="38" fillId="0" borderId="20" xfId="0" applyFont="1" applyBorder="1" applyAlignment="1">
      <alignment horizontal="left" vertical="center"/>
    </xf>
    <xf numFmtId="0" fontId="38" fillId="0" borderId="12" xfId="0" applyFont="1" applyBorder="1" applyAlignment="1">
      <alignment horizontal="left" vertical="center"/>
    </xf>
    <xf numFmtId="0" fontId="58" fillId="0" borderId="62" xfId="0" applyFont="1" applyBorder="1" applyAlignment="1">
      <alignment horizontal="center" vertical="center"/>
    </xf>
    <xf numFmtId="0" fontId="58" fillId="0" borderId="11" xfId="0" applyFont="1" applyBorder="1" applyAlignment="1">
      <alignment horizontal="center" vertical="center"/>
    </xf>
    <xf numFmtId="0" fontId="58" fillId="0" borderId="63" xfId="0" applyFont="1" applyBorder="1" applyAlignment="1">
      <alignment horizontal="center" vertical="center"/>
    </xf>
    <xf numFmtId="0" fontId="54" fillId="34" borderId="52" xfId="0" applyFont="1" applyFill="1" applyBorder="1" applyAlignment="1">
      <alignment horizontal="center" vertical="center"/>
    </xf>
    <xf numFmtId="0" fontId="54" fillId="34" borderId="19" xfId="0" applyFont="1" applyFill="1" applyBorder="1" applyAlignment="1">
      <alignment horizontal="center" vertical="center"/>
    </xf>
    <xf numFmtId="0" fontId="54" fillId="34" borderId="30" xfId="0" applyFont="1" applyFill="1" applyBorder="1" applyAlignment="1">
      <alignment horizontal="center" vertical="center"/>
    </xf>
    <xf numFmtId="0" fontId="38" fillId="32" borderId="10" xfId="0" applyFont="1" applyFill="1" applyBorder="1" applyAlignment="1">
      <alignment horizontal="left" vertical="center" wrapText="1"/>
    </xf>
    <xf numFmtId="0" fontId="38" fillId="32" borderId="16" xfId="0" applyFont="1" applyFill="1" applyBorder="1" applyAlignment="1">
      <alignment horizontal="left" vertical="center" wrapText="1"/>
    </xf>
    <xf numFmtId="0" fontId="71" fillId="54" borderId="1" xfId="0" applyFont="1" applyFill="1" applyBorder="1" applyAlignment="1" applyProtection="1">
      <alignment horizontal="center" vertical="center"/>
      <protection locked="0"/>
    </xf>
    <xf numFmtId="0" fontId="38" fillId="0" borderId="34" xfId="0" applyFont="1" applyFill="1" applyBorder="1" applyAlignment="1">
      <alignment horizontal="left" vertical="center" wrapText="1"/>
    </xf>
    <xf numFmtId="0" fontId="38" fillId="0" borderId="2" xfId="0" applyFont="1" applyFill="1" applyBorder="1" applyAlignment="1">
      <alignment horizontal="left" vertical="center" wrapText="1"/>
    </xf>
    <xf numFmtId="0" fontId="38" fillId="0" borderId="10" xfId="0" applyFont="1" applyFill="1" applyBorder="1" applyAlignment="1">
      <alignment horizontal="left" vertical="center" wrapText="1"/>
    </xf>
    <xf numFmtId="0" fontId="38" fillId="32" borderId="34" xfId="0" applyFont="1" applyFill="1" applyBorder="1" applyAlignment="1">
      <alignment horizontal="left" vertical="center" wrapText="1"/>
    </xf>
    <xf numFmtId="0" fontId="38" fillId="32" borderId="2" xfId="0" applyFont="1" applyFill="1" applyBorder="1" applyAlignment="1">
      <alignment horizontal="left" vertical="center" wrapText="1"/>
    </xf>
    <xf numFmtId="0" fontId="38" fillId="32" borderId="9" xfId="0" applyFont="1" applyFill="1" applyBorder="1" applyAlignment="1">
      <alignment horizontal="left" vertical="center" wrapText="1"/>
    </xf>
    <xf numFmtId="0" fontId="54" fillId="0" borderId="35" xfId="0" applyFont="1" applyFill="1" applyBorder="1" applyAlignment="1">
      <alignment horizontal="center" vertical="center" wrapText="1"/>
    </xf>
    <xf numFmtId="0" fontId="54" fillId="0" borderId="6" xfId="0" applyFont="1" applyFill="1" applyBorder="1" applyAlignment="1">
      <alignment horizontal="center" vertical="center" wrapText="1"/>
    </xf>
    <xf numFmtId="0" fontId="54" fillId="0" borderId="5" xfId="0" applyFont="1" applyFill="1" applyBorder="1" applyAlignment="1">
      <alignment horizontal="center" vertical="center" wrapText="1"/>
    </xf>
    <xf numFmtId="0" fontId="54" fillId="34" borderId="54" xfId="0" applyFont="1" applyFill="1" applyBorder="1" applyAlignment="1">
      <alignment horizontal="center" vertical="center" wrapText="1"/>
    </xf>
    <xf numFmtId="0" fontId="54" fillId="34" borderId="33" xfId="0" applyFont="1" applyFill="1" applyBorder="1" applyAlignment="1">
      <alignment horizontal="center" vertical="center"/>
    </xf>
    <xf numFmtId="0" fontId="54" fillId="34" borderId="31" xfId="0" applyFont="1" applyFill="1" applyBorder="1" applyAlignment="1">
      <alignment horizontal="center" vertical="center"/>
    </xf>
    <xf numFmtId="0" fontId="54" fillId="34" borderId="32" xfId="0" applyFont="1" applyFill="1" applyBorder="1" applyAlignment="1">
      <alignment horizontal="center" vertical="center"/>
    </xf>
    <xf numFmtId="0" fontId="38" fillId="54" borderId="1" xfId="0" applyFont="1" applyFill="1" applyBorder="1" applyAlignment="1" applyProtection="1">
      <alignment horizontal="center" vertical="center"/>
      <protection locked="0"/>
    </xf>
    <xf numFmtId="0" fontId="38" fillId="54" borderId="1" xfId="0" applyFont="1" applyFill="1" applyBorder="1" applyAlignment="1" applyProtection="1">
      <alignment horizontal="center" vertical="center" wrapText="1"/>
      <protection locked="0"/>
    </xf>
    <xf numFmtId="0" fontId="38" fillId="54" borderId="13" xfId="0" applyFont="1" applyFill="1" applyBorder="1" applyAlignment="1" applyProtection="1">
      <alignment horizontal="center" vertical="center" wrapText="1"/>
      <protection locked="0"/>
    </xf>
    <xf numFmtId="0" fontId="38" fillId="54" borderId="22" xfId="0" applyFont="1" applyFill="1" applyBorder="1" applyAlignment="1" applyProtection="1">
      <alignment horizontal="center" vertical="center"/>
      <protection locked="0"/>
    </xf>
    <xf numFmtId="0" fontId="38" fillId="54" borderId="55" xfId="0" applyFont="1" applyFill="1" applyBorder="1" applyAlignment="1" applyProtection="1">
      <alignment horizontal="center" vertical="center"/>
      <protection locked="0"/>
    </xf>
    <xf numFmtId="0" fontId="38" fillId="54" borderId="17" xfId="0" applyFont="1" applyFill="1" applyBorder="1" applyAlignment="1" applyProtection="1">
      <alignment horizontal="center" vertical="center"/>
      <protection locked="0"/>
    </xf>
    <xf numFmtId="0" fontId="38" fillId="32" borderId="42" xfId="0" applyFont="1" applyFill="1" applyBorder="1" applyAlignment="1">
      <alignment horizontal="left" vertical="center" wrapText="1"/>
    </xf>
    <xf numFmtId="0" fontId="38" fillId="32" borderId="56" xfId="0" applyFont="1" applyFill="1" applyBorder="1" applyAlignment="1">
      <alignment horizontal="left" vertical="center" wrapText="1"/>
    </xf>
    <xf numFmtId="0" fontId="38" fillId="32" borderId="15" xfId="0" applyFont="1" applyFill="1" applyBorder="1" applyAlignment="1">
      <alignment horizontal="left" vertical="center" wrapText="1"/>
    </xf>
    <xf numFmtId="0" fontId="43" fillId="32" borderId="57" xfId="0" applyFont="1" applyFill="1" applyBorder="1" applyAlignment="1">
      <alignment horizontal="center" vertical="center" wrapText="1"/>
    </xf>
    <xf numFmtId="0" fontId="43" fillId="32" borderId="18" xfId="0" applyFont="1" applyFill="1" applyBorder="1" applyAlignment="1">
      <alignment horizontal="center" vertical="center" wrapText="1"/>
    </xf>
    <xf numFmtId="0" fontId="0" fillId="0" borderId="8" xfId="0" applyBorder="1" applyAlignment="1">
      <alignment horizontal="center" vertical="center" wrapText="1"/>
    </xf>
    <xf numFmtId="0" fontId="0" fillId="0" borderId="2" xfId="0" applyBorder="1" applyAlignment="1">
      <alignment horizontal="center" vertical="center" wrapText="1"/>
    </xf>
    <xf numFmtId="0" fontId="0" fillId="0" borderId="10" xfId="0" applyBorder="1" applyAlignment="1">
      <alignment horizontal="center" vertical="center" wrapText="1"/>
    </xf>
    <xf numFmtId="0" fontId="54" fillId="47" borderId="4" xfId="0" applyFont="1" applyFill="1" applyBorder="1" applyAlignment="1">
      <alignment horizontal="center" vertical="center" wrapText="1"/>
    </xf>
    <xf numFmtId="0" fontId="54" fillId="47" borderId="6" xfId="0" applyFont="1" applyFill="1" applyBorder="1" applyAlignment="1">
      <alignment horizontal="center" vertical="center" wrapText="1"/>
    </xf>
    <xf numFmtId="0" fontId="54" fillId="47" borderId="5" xfId="0" applyFont="1" applyFill="1" applyBorder="1" applyAlignment="1">
      <alignment horizontal="center" vertical="center" wrapText="1"/>
    </xf>
    <xf numFmtId="0" fontId="6" fillId="32" borderId="28" xfId="0" applyFont="1" applyFill="1" applyBorder="1" applyAlignment="1">
      <alignment horizontal="center" vertical="center" wrapText="1"/>
    </xf>
    <xf numFmtId="0" fontId="45" fillId="32" borderId="0" xfId="0" applyFont="1" applyFill="1" applyBorder="1" applyAlignment="1">
      <alignment horizontal="center" vertical="center" wrapText="1"/>
    </xf>
    <xf numFmtId="0" fontId="45" fillId="32" borderId="11"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40" xfId="0" applyBorder="1" applyAlignment="1">
      <alignment horizontal="center" vertical="center" wrapText="1"/>
    </xf>
    <xf numFmtId="0" fontId="0" fillId="0" borderId="64" xfId="0" applyBorder="1" applyAlignment="1">
      <alignment horizontal="center" vertical="center" wrapText="1"/>
    </xf>
    <xf numFmtId="0" fontId="45" fillId="32" borderId="28" xfId="0" applyFont="1" applyFill="1" applyBorder="1" applyAlignment="1">
      <alignment horizontal="center" vertical="center" wrapText="1"/>
    </xf>
    <xf numFmtId="0" fontId="58" fillId="0" borderId="25" xfId="0" applyFont="1" applyBorder="1" applyAlignment="1">
      <alignment horizontal="center" vertical="center"/>
    </xf>
    <xf numFmtId="0" fontId="58" fillId="0" borderId="40" xfId="0" applyFont="1" applyBorder="1" applyAlignment="1">
      <alignment horizontal="center" vertical="center"/>
    </xf>
    <xf numFmtId="0" fontId="58" fillId="0" borderId="64" xfId="0" applyFont="1" applyBorder="1" applyAlignment="1">
      <alignment horizontal="center" vertical="center"/>
    </xf>
    <xf numFmtId="0" fontId="54" fillId="54" borderId="4" xfId="0" applyFont="1" applyFill="1" applyBorder="1" applyAlignment="1" applyProtection="1">
      <alignment horizontal="center" vertical="center" wrapText="1"/>
      <protection locked="0"/>
    </xf>
    <xf numFmtId="0" fontId="54" fillId="54" borderId="6" xfId="0" applyFont="1" applyFill="1" applyBorder="1" applyAlignment="1" applyProtection="1">
      <alignment horizontal="center" vertical="center" wrapText="1"/>
      <protection locked="0"/>
    </xf>
    <xf numFmtId="0" fontId="54" fillId="54" borderId="5" xfId="0" applyFont="1" applyFill="1" applyBorder="1" applyAlignment="1" applyProtection="1">
      <alignment horizontal="center" vertical="center" wrapText="1"/>
      <protection locked="0"/>
    </xf>
    <xf numFmtId="0" fontId="0" fillId="0" borderId="28" xfId="0" applyBorder="1" applyAlignment="1">
      <alignment horizontal="center" vertical="center" wrapText="1"/>
    </xf>
    <xf numFmtId="0" fontId="0" fillId="0" borderId="0" xfId="0" applyBorder="1" applyAlignment="1">
      <alignment horizontal="center" vertical="center" wrapText="1"/>
    </xf>
    <xf numFmtId="0" fontId="72" fillId="0" borderId="11" xfId="0" applyFont="1" applyBorder="1" applyAlignment="1">
      <alignment horizontal="center" vertical="center" wrapText="1"/>
    </xf>
    <xf numFmtId="0" fontId="72" fillId="0" borderId="11" xfId="0" applyFont="1" applyBorder="1" applyAlignment="1">
      <alignment horizontal="center" vertical="center"/>
    </xf>
    <xf numFmtId="2" fontId="54" fillId="47" borderId="25" xfId="0" applyNumberFormat="1" applyFont="1" applyFill="1" applyBorder="1" applyAlignment="1">
      <alignment horizontal="center" vertical="center" wrapText="1"/>
    </xf>
    <xf numFmtId="0" fontId="54" fillId="47" borderId="40" xfId="0" applyFont="1" applyFill="1" applyBorder="1" applyAlignment="1">
      <alignment horizontal="center" vertical="center" wrapText="1"/>
    </xf>
    <xf numFmtId="0" fontId="54" fillId="47" borderId="65" xfId="0" applyFont="1" applyFill="1" applyBorder="1" applyAlignment="1">
      <alignment horizontal="center" vertical="center" wrapText="1"/>
    </xf>
    <xf numFmtId="0" fontId="0" fillId="0" borderId="9" xfId="0" applyBorder="1" applyAlignment="1">
      <alignment horizontal="center" vertical="center" wrapText="1"/>
    </xf>
    <xf numFmtId="0" fontId="54" fillId="54" borderId="25" xfId="0" applyFont="1" applyFill="1" applyBorder="1" applyAlignment="1" applyProtection="1">
      <alignment horizontal="center" vertical="center" wrapText="1"/>
      <protection locked="0"/>
    </xf>
    <xf numFmtId="0" fontId="54" fillId="54" borderId="64" xfId="0" applyFont="1" applyFill="1" applyBorder="1" applyAlignment="1" applyProtection="1">
      <alignment horizontal="center" vertical="center" wrapText="1"/>
      <protection locked="0"/>
    </xf>
    <xf numFmtId="0" fontId="58" fillId="0" borderId="24" xfId="0" applyFont="1" applyBorder="1" applyAlignment="1">
      <alignment horizontal="center" vertical="center"/>
    </xf>
    <xf numFmtId="0" fontId="58" fillId="0" borderId="66" xfId="0" applyFont="1" applyBorder="1" applyAlignment="1">
      <alignment horizontal="center" vertical="center"/>
    </xf>
    <xf numFmtId="0" fontId="58" fillId="0" borderId="67" xfId="0" applyFont="1" applyBorder="1" applyAlignment="1">
      <alignment horizontal="center" vertical="center"/>
    </xf>
    <xf numFmtId="0" fontId="41" fillId="60" borderId="25" xfId="0" applyFont="1" applyFill="1" applyBorder="1" applyAlignment="1">
      <alignment horizontal="center" vertical="center" wrapText="1"/>
    </xf>
    <xf numFmtId="0" fontId="41" fillId="60" borderId="64" xfId="0" applyFont="1" applyFill="1" applyBorder="1" applyAlignment="1">
      <alignment horizontal="center" vertical="center" wrapText="1"/>
    </xf>
    <xf numFmtId="0" fontId="43" fillId="57" borderId="1" xfId="32" applyFont="1" applyFill="1" applyBorder="1" applyAlignment="1">
      <alignment horizontal="center"/>
    </xf>
    <xf numFmtId="0" fontId="43" fillId="51" borderId="23" xfId="32" applyFont="1" applyFill="1" applyBorder="1" applyAlignment="1">
      <alignment horizontal="center"/>
    </xf>
    <xf numFmtId="0" fontId="43" fillId="51" borderId="46" xfId="32" applyFont="1" applyFill="1" applyBorder="1" applyAlignment="1">
      <alignment horizontal="center"/>
    </xf>
    <xf numFmtId="0" fontId="43" fillId="51" borderId="12" xfId="32" applyFont="1" applyFill="1" applyBorder="1" applyAlignment="1">
      <alignment horizontal="center"/>
    </xf>
    <xf numFmtId="0" fontId="43" fillId="52" borderId="23" xfId="32" applyFont="1" applyFill="1" applyBorder="1" applyAlignment="1">
      <alignment horizontal="center"/>
    </xf>
    <xf numFmtId="0" fontId="43" fillId="52" borderId="46" xfId="32" applyFont="1" applyFill="1" applyBorder="1" applyAlignment="1">
      <alignment horizontal="center"/>
    </xf>
    <xf numFmtId="0" fontId="43" fillId="52" borderId="12" xfId="32" applyFont="1" applyFill="1" applyBorder="1" applyAlignment="1">
      <alignment horizontal="center"/>
    </xf>
    <xf numFmtId="0" fontId="87" fillId="32" borderId="6" xfId="0" applyFont="1" applyFill="1" applyBorder="1" applyAlignment="1">
      <alignment horizontal="left" wrapText="1"/>
    </xf>
    <xf numFmtId="0" fontId="0" fillId="32" borderId="6" xfId="0" applyFill="1" applyBorder="1" applyAlignment="1">
      <alignment horizontal="left" wrapText="1"/>
    </xf>
    <xf numFmtId="0" fontId="97" fillId="65" borderId="0" xfId="42" applyFont="1" applyFill="1" applyAlignment="1">
      <alignment horizontal="center" vertical="center"/>
    </xf>
    <xf numFmtId="0" fontId="38" fillId="32" borderId="0" xfId="32" applyFill="1" applyBorder="1" applyAlignment="1">
      <alignment horizontal="left"/>
    </xf>
    <xf numFmtId="0" fontId="38" fillId="32" borderId="6" xfId="32" applyFill="1" applyBorder="1" applyAlignment="1">
      <alignment horizontal="left"/>
    </xf>
    <xf numFmtId="0" fontId="75" fillId="34" borderId="24" xfId="0" applyFont="1" applyFill="1" applyBorder="1" applyAlignment="1">
      <alignment horizontal="center" vertical="center" wrapText="1"/>
    </xf>
    <xf numFmtId="0" fontId="75" fillId="34" borderId="66" xfId="0" applyFont="1" applyFill="1" applyBorder="1" applyAlignment="1">
      <alignment horizontal="center" vertical="center" wrapText="1"/>
    </xf>
    <xf numFmtId="0" fontId="75" fillId="34" borderId="67" xfId="0" applyFont="1" applyFill="1" applyBorder="1" applyAlignment="1">
      <alignment horizontal="center" vertical="center" wrapText="1"/>
    </xf>
    <xf numFmtId="0" fontId="0" fillId="46" borderId="2" xfId="0" applyFill="1" applyBorder="1" applyAlignment="1">
      <alignment horizontal="left" vertical="top" wrapText="1"/>
    </xf>
    <xf numFmtId="0" fontId="0" fillId="32" borderId="0" xfId="0" applyFill="1" applyBorder="1" applyAlignment="1">
      <alignment horizontal="left"/>
    </xf>
    <xf numFmtId="0" fontId="88" fillId="32" borderId="6" xfId="0" applyFont="1" applyFill="1" applyBorder="1" applyAlignment="1">
      <alignment horizontal="left" wrapText="1"/>
    </xf>
    <xf numFmtId="0" fontId="0" fillId="40" borderId="2" xfId="0" applyFill="1" applyBorder="1" applyAlignment="1">
      <alignment horizontal="left" vertical="top" wrapText="1"/>
    </xf>
    <xf numFmtId="0" fontId="0" fillId="40" borderId="9" xfId="0" applyFill="1" applyBorder="1" applyAlignment="1">
      <alignment horizontal="left" vertical="top" wrapText="1"/>
    </xf>
    <xf numFmtId="0" fontId="52" fillId="32" borderId="61" xfId="0" applyFont="1" applyFill="1" applyBorder="1" applyAlignment="1">
      <alignment horizontal="center" vertical="center" wrapText="1"/>
    </xf>
    <xf numFmtId="0" fontId="52" fillId="32" borderId="16" xfId="0" applyFont="1" applyFill="1" applyBorder="1" applyAlignment="1">
      <alignment horizontal="center" vertical="center" wrapText="1"/>
    </xf>
    <xf numFmtId="0" fontId="52" fillId="0" borderId="61" xfId="0" applyFont="1" applyBorder="1" applyAlignment="1">
      <alignment horizontal="center" vertical="center" wrapText="1"/>
    </xf>
    <xf numFmtId="0" fontId="52" fillId="0" borderId="68" xfId="0" applyFont="1" applyBorder="1" applyAlignment="1">
      <alignment horizontal="center" vertical="center" wrapText="1"/>
    </xf>
    <xf numFmtId="0" fontId="74" fillId="32" borderId="0" xfId="32" applyFont="1" applyFill="1" applyAlignment="1">
      <alignment horizontal="center" vertical="center" wrapText="1"/>
    </xf>
    <xf numFmtId="0" fontId="49" fillId="32" borderId="1" xfId="0" applyFont="1" applyFill="1" applyBorder="1" applyAlignment="1">
      <alignment horizontal="center" vertical="center" wrapText="1"/>
    </xf>
    <xf numFmtId="0" fontId="50" fillId="32" borderId="1" xfId="0" applyFont="1" applyFill="1" applyBorder="1" applyAlignment="1">
      <alignment horizontal="center" vertical="center" wrapText="1"/>
    </xf>
    <xf numFmtId="0" fontId="51" fillId="32" borderId="1" xfId="0" applyFont="1" applyFill="1" applyBorder="1" applyAlignment="1">
      <alignment horizontal="center" vertical="center" wrapText="1"/>
    </xf>
    <xf numFmtId="0" fontId="53" fillId="32"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49" fillId="0" borderId="1" xfId="0" applyFont="1" applyBorder="1" applyAlignment="1">
      <alignment horizontal="center" vertical="center" wrapText="1"/>
    </xf>
    <xf numFmtId="0" fontId="50" fillId="0" borderId="1" xfId="0" applyFont="1" applyBorder="1" applyAlignment="1">
      <alignment horizontal="center" vertical="center" wrapText="1"/>
    </xf>
    <xf numFmtId="0" fontId="75" fillId="0" borderId="9" xfId="0" applyFont="1" applyFill="1" applyBorder="1" applyAlignment="1">
      <alignment horizontal="center" vertical="top" wrapText="1"/>
    </xf>
    <xf numFmtId="0" fontId="75" fillId="0" borderId="11" xfId="0" applyFont="1" applyFill="1" applyBorder="1" applyAlignment="1">
      <alignment horizontal="center" vertical="top" wrapText="1"/>
    </xf>
    <xf numFmtId="0" fontId="75" fillId="0" borderId="5" xfId="0" applyFont="1" applyFill="1" applyBorder="1" applyAlignment="1">
      <alignment horizontal="center" vertical="top" wrapText="1"/>
    </xf>
    <xf numFmtId="0" fontId="48" fillId="32"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3" fillId="0" borderId="1" xfId="0" applyFont="1" applyBorder="1" applyAlignment="1">
      <alignment horizontal="center" vertical="center" wrapText="1"/>
    </xf>
    <xf numFmtId="0" fontId="75" fillId="0" borderId="8" xfId="0" applyFont="1" applyBorder="1" applyAlignment="1">
      <alignment horizontal="center" vertical="center" wrapText="1"/>
    </xf>
    <xf numFmtId="0" fontId="75" fillId="0" borderId="28" xfId="0" applyFont="1" applyBorder="1" applyAlignment="1">
      <alignment horizontal="center" vertical="center" wrapText="1"/>
    </xf>
    <xf numFmtId="0" fontId="75" fillId="0" borderId="4" xfId="0" applyFont="1" applyBorder="1" applyAlignment="1">
      <alignment horizontal="center" vertical="center" wrapText="1"/>
    </xf>
    <xf numFmtId="0" fontId="75" fillId="0" borderId="2" xfId="0" applyFont="1" applyBorder="1" applyAlignment="1">
      <alignment horizontal="center" vertical="center" wrapText="1"/>
    </xf>
    <xf numFmtId="0" fontId="75" fillId="0" borderId="0" xfId="0" applyFont="1" applyBorder="1" applyAlignment="1">
      <alignment horizontal="center" vertical="center" wrapText="1"/>
    </xf>
    <xf numFmtId="0" fontId="75" fillId="0" borderId="6" xfId="0" applyFont="1" applyBorder="1" applyAlignment="1">
      <alignment horizontal="center" vertical="center" wrapText="1"/>
    </xf>
    <xf numFmtId="0" fontId="75" fillId="0" borderId="9" xfId="0" applyFont="1" applyBorder="1" applyAlignment="1">
      <alignment horizontal="center" vertical="center" wrapText="1"/>
    </xf>
    <xf numFmtId="0" fontId="75" fillId="0" borderId="11" xfId="0" applyFont="1" applyBorder="1" applyAlignment="1">
      <alignment horizontal="center" vertical="center" wrapText="1"/>
    </xf>
    <xf numFmtId="0" fontId="75" fillId="0" borderId="5" xfId="0" applyFont="1" applyBorder="1" applyAlignment="1">
      <alignment horizontal="center" vertical="center" wrapText="1"/>
    </xf>
    <xf numFmtId="0" fontId="94" fillId="32" borderId="6" xfId="0" applyFont="1" applyFill="1" applyBorder="1" applyAlignment="1">
      <alignment horizontal="left" wrapText="1"/>
    </xf>
    <xf numFmtId="0" fontId="75" fillId="45" borderId="24" xfId="0" applyFont="1" applyFill="1" applyBorder="1" applyAlignment="1">
      <alignment horizontal="center" vertical="center" wrapText="1"/>
    </xf>
    <xf numFmtId="0" fontId="75" fillId="45" borderId="66" xfId="0" applyFont="1" applyFill="1" applyBorder="1" applyAlignment="1">
      <alignment horizontal="center" vertical="center" wrapText="1"/>
    </xf>
    <xf numFmtId="0" fontId="75" fillId="45" borderId="67" xfId="0" applyFont="1" applyFill="1" applyBorder="1" applyAlignment="1">
      <alignment horizontal="center" vertical="center" wrapText="1"/>
    </xf>
    <xf numFmtId="0" fontId="73" fillId="0" borderId="1" xfId="32" applyFont="1" applyBorder="1" applyAlignment="1">
      <alignment horizontal="center" vertical="center" wrapText="1"/>
    </xf>
    <xf numFmtId="0" fontId="0" fillId="32" borderId="6" xfId="0" applyFill="1" applyBorder="1" applyAlignment="1">
      <alignment horizontal="left"/>
    </xf>
    <xf numFmtId="0" fontId="0" fillId="57" borderId="0" xfId="0" applyFill="1" applyBorder="1" applyAlignment="1">
      <alignment horizontal="left"/>
    </xf>
    <xf numFmtId="0" fontId="0" fillId="57" borderId="6" xfId="0" applyFill="1" applyBorder="1" applyAlignment="1">
      <alignment horizontal="left"/>
    </xf>
    <xf numFmtId="0" fontId="88" fillId="32" borderId="0" xfId="0" applyFont="1" applyFill="1" applyBorder="1" applyAlignment="1">
      <alignment horizontal="left"/>
    </xf>
    <xf numFmtId="0" fontId="0" fillId="57" borderId="11" xfId="0" applyFill="1" applyBorder="1" applyAlignment="1">
      <alignment horizontal="left"/>
    </xf>
    <xf numFmtId="0" fontId="0" fillId="57" borderId="5" xfId="0" applyFill="1" applyBorder="1" applyAlignment="1">
      <alignment horizontal="left"/>
    </xf>
    <xf numFmtId="0" fontId="75" fillId="0" borderId="8" xfId="0" applyFont="1" applyFill="1" applyBorder="1" applyAlignment="1">
      <alignment horizontal="center" vertical="top" wrapText="1"/>
    </xf>
    <xf numFmtId="0" fontId="75" fillId="0" borderId="28" xfId="0" applyFont="1" applyFill="1" applyBorder="1" applyAlignment="1">
      <alignment horizontal="center" vertical="top" wrapText="1"/>
    </xf>
    <xf numFmtId="0" fontId="75" fillId="0" borderId="4" xfId="0" applyFont="1" applyFill="1" applyBorder="1" applyAlignment="1">
      <alignment horizontal="center" vertical="top" wrapText="1"/>
    </xf>
    <xf numFmtId="0" fontId="75" fillId="0" borderId="2" xfId="0" applyFont="1" applyFill="1" applyBorder="1" applyAlignment="1">
      <alignment horizontal="center" vertical="top" wrapText="1"/>
    </xf>
    <xf numFmtId="0" fontId="75" fillId="0" borderId="0" xfId="0" applyFont="1" applyFill="1" applyBorder="1" applyAlignment="1">
      <alignment horizontal="center" vertical="top" wrapText="1"/>
    </xf>
    <xf numFmtId="0" fontId="75" fillId="0" borderId="6" xfId="0" applyFont="1" applyFill="1" applyBorder="1" applyAlignment="1">
      <alignment horizontal="center" vertical="top" wrapText="1"/>
    </xf>
    <xf numFmtId="0" fontId="0" fillId="32" borderId="0" xfId="0" applyFill="1" applyBorder="1" applyAlignment="1">
      <alignment horizontal="left" vertical="center" wrapText="1"/>
    </xf>
    <xf numFmtId="0" fontId="0" fillId="32" borderId="6" xfId="0" applyFill="1" applyBorder="1" applyAlignment="1">
      <alignment horizontal="left" vertical="center" wrapText="1"/>
    </xf>
    <xf numFmtId="0" fontId="87" fillId="32" borderId="0" xfId="0" applyFont="1" applyFill="1" applyBorder="1" applyAlignment="1">
      <alignment horizontal="left"/>
    </xf>
    <xf numFmtId="0" fontId="75" fillId="64" borderId="24" xfId="0" applyFont="1" applyFill="1" applyBorder="1" applyAlignment="1">
      <alignment horizontal="center" vertical="center" wrapText="1"/>
    </xf>
    <xf numFmtId="0" fontId="75" fillId="64" borderId="66" xfId="0" applyFont="1" applyFill="1" applyBorder="1" applyAlignment="1">
      <alignment horizontal="center" vertical="center" wrapText="1"/>
    </xf>
    <xf numFmtId="0" fontId="75" fillId="64" borderId="67" xfId="0" applyFont="1" applyFill="1" applyBorder="1" applyAlignment="1">
      <alignment horizontal="center" vertical="center" wrapText="1"/>
    </xf>
    <xf numFmtId="0" fontId="48" fillId="32" borderId="6" xfId="0" applyFont="1" applyFill="1" applyBorder="1" applyAlignment="1">
      <alignment horizontal="left" wrapText="1"/>
    </xf>
    <xf numFmtId="0" fontId="42" fillId="32" borderId="6" xfId="0" applyFont="1" applyFill="1" applyBorder="1" applyAlignment="1">
      <alignment horizontal="left" wrapText="1"/>
    </xf>
    <xf numFmtId="0" fontId="38" fillId="32" borderId="13" xfId="0" applyFont="1" applyFill="1" applyBorder="1" applyAlignment="1">
      <alignment horizontal="center"/>
    </xf>
    <xf numFmtId="0" fontId="38" fillId="32" borderId="36" xfId="0" applyFont="1" applyFill="1" applyBorder="1" applyAlignment="1">
      <alignment horizontal="center"/>
    </xf>
    <xf numFmtId="0" fontId="25" fillId="32" borderId="8" xfId="0" applyFont="1" applyFill="1" applyBorder="1" applyAlignment="1">
      <alignment horizontal="left" vertical="top" wrapText="1"/>
    </xf>
    <xf numFmtId="0" fontId="80" fillId="32" borderId="28" xfId="0" applyFont="1" applyFill="1" applyBorder="1" applyAlignment="1">
      <alignment horizontal="left" vertical="top"/>
    </xf>
    <xf numFmtId="0" fontId="80" fillId="32" borderId="4" xfId="0" applyFont="1" applyFill="1" applyBorder="1" applyAlignment="1">
      <alignment horizontal="left" vertical="top"/>
    </xf>
    <xf numFmtId="0" fontId="80" fillId="32" borderId="2" xfId="0" applyFont="1" applyFill="1" applyBorder="1" applyAlignment="1">
      <alignment horizontal="left" vertical="top"/>
    </xf>
    <xf numFmtId="0" fontId="80" fillId="32" borderId="0" xfId="0" applyFont="1" applyFill="1" applyBorder="1" applyAlignment="1">
      <alignment horizontal="left" vertical="top"/>
    </xf>
    <xf numFmtId="0" fontId="80" fillId="32" borderId="6" xfId="0" applyFont="1" applyFill="1" applyBorder="1" applyAlignment="1">
      <alignment horizontal="left" vertical="top"/>
    </xf>
    <xf numFmtId="0" fontId="80" fillId="32" borderId="9" xfId="0" applyFont="1" applyFill="1" applyBorder="1" applyAlignment="1">
      <alignment horizontal="left" vertical="top"/>
    </xf>
    <xf numFmtId="0" fontId="80" fillId="32" borderId="11" xfId="0" applyFont="1" applyFill="1" applyBorder="1" applyAlignment="1">
      <alignment horizontal="left" vertical="top"/>
    </xf>
    <xf numFmtId="0" fontId="80" fillId="32" borderId="5" xfId="0" applyFont="1" applyFill="1" applyBorder="1" applyAlignment="1">
      <alignment horizontal="left" vertical="top"/>
    </xf>
    <xf numFmtId="0" fontId="38" fillId="32" borderId="23" xfId="0" applyFont="1" applyFill="1" applyBorder="1" applyAlignment="1">
      <alignment horizontal="left"/>
    </xf>
    <xf numFmtId="0" fontId="38" fillId="32" borderId="46" xfId="0" applyFont="1" applyFill="1" applyBorder="1" applyAlignment="1">
      <alignment horizontal="left"/>
    </xf>
    <xf numFmtId="0" fontId="38" fillId="32" borderId="50" xfId="0" applyFont="1" applyFill="1" applyBorder="1" applyAlignment="1">
      <alignment horizontal="left"/>
    </xf>
    <xf numFmtId="0" fontId="38" fillId="32" borderId="70" xfId="0" applyFont="1" applyFill="1" applyBorder="1" applyAlignment="1">
      <alignment horizontal="left"/>
    </xf>
    <xf numFmtId="0" fontId="38" fillId="32" borderId="48" xfId="0" applyFont="1" applyFill="1" applyBorder="1" applyAlignment="1">
      <alignment horizontal="left"/>
    </xf>
    <xf numFmtId="0" fontId="38" fillId="32" borderId="51" xfId="0" applyFont="1" applyFill="1" applyBorder="1" applyAlignment="1">
      <alignment horizontal="left"/>
    </xf>
    <xf numFmtId="0" fontId="38" fillId="32" borderId="1" xfId="0" applyFont="1" applyFill="1" applyBorder="1" applyAlignment="1">
      <alignment horizontal="left"/>
    </xf>
    <xf numFmtId="0" fontId="38" fillId="32" borderId="38" xfId="0" applyFont="1" applyFill="1" applyBorder="1" applyAlignment="1">
      <alignment horizontal="left"/>
    </xf>
    <xf numFmtId="0" fontId="38" fillId="0" borderId="1" xfId="0" applyFont="1" applyBorder="1" applyAlignment="1">
      <alignment horizontal="center"/>
    </xf>
    <xf numFmtId="0" fontId="38" fillId="0" borderId="38" xfId="0" applyFont="1" applyBorder="1" applyAlignment="1">
      <alignment horizontal="center"/>
    </xf>
    <xf numFmtId="0" fontId="38" fillId="0" borderId="1" xfId="0" applyFont="1" applyFill="1" applyBorder="1" applyAlignment="1">
      <alignment horizontal="center"/>
    </xf>
    <xf numFmtId="0" fontId="38" fillId="0" borderId="38" xfId="0" applyFont="1" applyFill="1" applyBorder="1" applyAlignment="1">
      <alignment horizontal="center"/>
    </xf>
    <xf numFmtId="0" fontId="43" fillId="0" borderId="53" xfId="0" applyFont="1" applyFill="1" applyBorder="1" applyAlignment="1">
      <alignment horizontal="center" vertical="center"/>
    </xf>
    <xf numFmtId="0" fontId="43" fillId="0" borderId="44" xfId="0" applyFont="1" applyFill="1" applyBorder="1" applyAlignment="1">
      <alignment horizontal="center" vertical="center"/>
    </xf>
    <xf numFmtId="0" fontId="43" fillId="0" borderId="49" xfId="0" applyFont="1" applyFill="1" applyBorder="1" applyAlignment="1">
      <alignment horizontal="center" vertical="center"/>
    </xf>
    <xf numFmtId="0" fontId="54" fillId="0" borderId="29" xfId="0" applyFont="1" applyBorder="1" applyAlignment="1">
      <alignment horizontal="center"/>
    </xf>
    <xf numFmtId="0" fontId="54" fillId="0" borderId="19" xfId="0" applyFont="1" applyBorder="1" applyAlignment="1">
      <alignment horizontal="center"/>
    </xf>
    <xf numFmtId="0" fontId="54" fillId="0" borderId="30" xfId="0" applyFont="1" applyBorder="1" applyAlignment="1">
      <alignment horizontal="center"/>
    </xf>
    <xf numFmtId="0" fontId="38" fillId="32" borderId="22" xfId="0" applyFont="1" applyFill="1" applyBorder="1" applyAlignment="1">
      <alignment horizontal="left"/>
    </xf>
    <xf numFmtId="0" fontId="38" fillId="32" borderId="39" xfId="0" applyFont="1" applyFill="1" applyBorder="1" applyAlignment="1">
      <alignment horizontal="left"/>
    </xf>
    <xf numFmtId="0" fontId="42" fillId="40" borderId="21" xfId="0" applyFont="1" applyFill="1" applyBorder="1" applyAlignment="1">
      <alignment horizontal="center" vertical="center"/>
    </xf>
    <xf numFmtId="0" fontId="42" fillId="40" borderId="48" xfId="0" applyFont="1" applyFill="1" applyBorder="1" applyAlignment="1">
      <alignment horizontal="center" vertical="center"/>
    </xf>
    <xf numFmtId="0" fontId="70" fillId="32" borderId="24" xfId="0" applyFont="1" applyFill="1" applyBorder="1" applyAlignment="1">
      <alignment horizontal="center" vertical="center"/>
    </xf>
    <xf numFmtId="0" fontId="70" fillId="32" borderId="66" xfId="0" applyFont="1" applyFill="1" applyBorder="1" applyAlignment="1">
      <alignment horizontal="center" vertical="center"/>
    </xf>
    <xf numFmtId="0" fontId="42" fillId="39" borderId="20" xfId="0" applyFont="1" applyFill="1" applyBorder="1" applyAlignment="1">
      <alignment horizontal="center" vertical="center"/>
    </xf>
    <xf numFmtId="0" fontId="42" fillId="39" borderId="46" xfId="0" applyFont="1" applyFill="1" applyBorder="1" applyAlignment="1">
      <alignment horizontal="center" vertical="center"/>
    </xf>
    <xf numFmtId="0" fontId="68" fillId="0" borderId="65" xfId="0" applyFont="1" applyBorder="1" applyAlignment="1">
      <alignment horizontal="center" vertical="center" wrapText="1"/>
    </xf>
    <xf numFmtId="0" fontId="68" fillId="0" borderId="45" xfId="0" applyFont="1" applyBorder="1" applyAlignment="1">
      <alignment horizontal="center" vertical="center" wrapText="1"/>
    </xf>
    <xf numFmtId="0" fontId="68" fillId="0" borderId="47" xfId="0" applyFont="1" applyBorder="1" applyAlignment="1">
      <alignment horizontal="center" vertical="center" wrapText="1"/>
    </xf>
    <xf numFmtId="0" fontId="68" fillId="0" borderId="45" xfId="0" applyFont="1" applyFill="1" applyBorder="1" applyAlignment="1">
      <alignment horizontal="center" vertical="center" wrapText="1"/>
    </xf>
    <xf numFmtId="0" fontId="42" fillId="43" borderId="20" xfId="0" applyFont="1" applyFill="1" applyBorder="1" applyAlignment="1">
      <alignment horizontal="center" vertical="center"/>
    </xf>
    <xf numFmtId="0" fontId="42" fillId="43" borderId="46" xfId="0" applyFont="1" applyFill="1" applyBorder="1" applyAlignment="1">
      <alignment horizontal="center" vertical="center"/>
    </xf>
    <xf numFmtId="0" fontId="42" fillId="37" borderId="20" xfId="0" applyFont="1" applyFill="1" applyBorder="1" applyAlignment="1">
      <alignment horizontal="center" vertical="center"/>
    </xf>
    <xf numFmtId="0" fontId="42" fillId="37" borderId="46" xfId="0" applyFont="1" applyFill="1" applyBorder="1" applyAlignment="1">
      <alignment horizontal="center" vertical="center"/>
    </xf>
    <xf numFmtId="0" fontId="42" fillId="34" borderId="20" xfId="0" applyFont="1" applyFill="1" applyBorder="1" applyAlignment="1">
      <alignment horizontal="center" vertical="center"/>
    </xf>
    <xf numFmtId="0" fontId="42" fillId="34" borderId="46" xfId="0" applyFont="1" applyFill="1" applyBorder="1" applyAlignment="1">
      <alignment horizontal="center" vertical="center"/>
    </xf>
    <xf numFmtId="0" fontId="42" fillId="38" borderId="20" xfId="0" applyFont="1" applyFill="1" applyBorder="1" applyAlignment="1">
      <alignment horizontal="center" vertical="center"/>
    </xf>
    <xf numFmtId="0" fontId="42" fillId="38" borderId="46" xfId="0" applyFont="1" applyFill="1" applyBorder="1" applyAlignment="1">
      <alignment horizontal="center" vertical="center"/>
    </xf>
    <xf numFmtId="0" fontId="42" fillId="36" borderId="20" xfId="0" applyFont="1" applyFill="1" applyBorder="1" applyAlignment="1">
      <alignment horizontal="center" vertical="center"/>
    </xf>
    <xf numFmtId="0" fontId="42" fillId="36" borderId="46" xfId="0" applyFont="1" applyFill="1" applyBorder="1" applyAlignment="1">
      <alignment horizontal="center" vertical="center"/>
    </xf>
    <xf numFmtId="0" fontId="42" fillId="42" borderId="20" xfId="0" applyFont="1" applyFill="1" applyBorder="1" applyAlignment="1">
      <alignment horizontal="center" vertical="center"/>
    </xf>
    <xf numFmtId="0" fontId="42" fillId="42" borderId="46" xfId="0" applyFont="1" applyFill="1" applyBorder="1" applyAlignment="1">
      <alignment horizontal="center" vertical="center"/>
    </xf>
    <xf numFmtId="0" fontId="42" fillId="41" borderId="20" xfId="0" applyFont="1" applyFill="1" applyBorder="1" applyAlignment="1">
      <alignment horizontal="center" vertical="center"/>
    </xf>
    <xf numFmtId="0" fontId="42" fillId="41" borderId="46" xfId="0" applyFont="1" applyFill="1" applyBorder="1" applyAlignment="1">
      <alignment horizontal="center" vertical="center"/>
    </xf>
    <xf numFmtId="0" fontId="42" fillId="30" borderId="20" xfId="0" applyFont="1" applyFill="1" applyBorder="1" applyAlignment="1">
      <alignment horizontal="center" vertical="center"/>
    </xf>
    <xf numFmtId="0" fontId="42" fillId="30" borderId="46" xfId="0" applyFont="1" applyFill="1" applyBorder="1" applyAlignment="1">
      <alignment horizontal="center" vertical="center"/>
    </xf>
    <xf numFmtId="0" fontId="0" fillId="46" borderId="12" xfId="0" applyFill="1" applyBorder="1" applyAlignment="1">
      <alignment horizontal="center"/>
    </xf>
    <xf numFmtId="0" fontId="0" fillId="46" borderId="1" xfId="0" applyFill="1" applyBorder="1" applyAlignment="1">
      <alignment horizontal="center"/>
    </xf>
    <xf numFmtId="0" fontId="79" fillId="32" borderId="8" xfId="0" applyFont="1" applyFill="1" applyBorder="1" applyAlignment="1">
      <alignment horizontal="center" vertical="center" wrapText="1"/>
    </xf>
    <xf numFmtId="0" fontId="79" fillId="32" borderId="28" xfId="0" applyFont="1" applyFill="1" applyBorder="1" applyAlignment="1">
      <alignment horizontal="center" vertical="center" wrapText="1"/>
    </xf>
    <xf numFmtId="0" fontId="79" fillId="32" borderId="4" xfId="0" applyFont="1" applyFill="1" applyBorder="1" applyAlignment="1">
      <alignment horizontal="center" vertical="center" wrapText="1"/>
    </xf>
    <xf numFmtId="0" fontId="43" fillId="42" borderId="24" xfId="0" applyFont="1" applyFill="1" applyBorder="1" applyAlignment="1">
      <alignment horizontal="center" vertical="center"/>
    </xf>
    <xf numFmtId="0" fontId="43" fillId="42" borderId="66" xfId="0" applyFont="1" applyFill="1" applyBorder="1" applyAlignment="1">
      <alignment horizontal="center" vertical="center"/>
    </xf>
    <xf numFmtId="0" fontId="43" fillId="42" borderId="67" xfId="0" applyFont="1" applyFill="1" applyBorder="1" applyAlignment="1">
      <alignment horizontal="center" vertical="center"/>
    </xf>
    <xf numFmtId="0" fontId="54" fillId="0" borderId="53" xfId="0" applyFont="1" applyBorder="1" applyAlignment="1">
      <alignment horizontal="center" vertical="center"/>
    </xf>
    <xf numFmtId="0" fontId="54" fillId="0" borderId="44" xfId="0" applyFont="1" applyBorder="1" applyAlignment="1">
      <alignment horizontal="center" vertical="center"/>
    </xf>
    <xf numFmtId="0" fontId="64" fillId="58" borderId="33" xfId="0" applyFont="1" applyFill="1" applyBorder="1" applyAlignment="1">
      <alignment horizontal="center"/>
    </xf>
    <xf numFmtId="0" fontId="64" fillId="58" borderId="31" xfId="0" applyFont="1" applyFill="1" applyBorder="1" applyAlignment="1">
      <alignment horizontal="center"/>
    </xf>
    <xf numFmtId="0" fontId="64" fillId="58" borderId="32" xfId="0" applyFont="1" applyFill="1" applyBorder="1" applyAlignment="1">
      <alignment horizontal="center"/>
    </xf>
    <xf numFmtId="0" fontId="76" fillId="0" borderId="16" xfId="0" applyFont="1" applyBorder="1" applyAlignment="1">
      <alignment horizontal="center" wrapText="1"/>
    </xf>
    <xf numFmtId="0" fontId="76" fillId="0" borderId="17" xfId="0" applyFont="1" applyBorder="1" applyAlignment="1">
      <alignment horizontal="center" wrapText="1"/>
    </xf>
    <xf numFmtId="0" fontId="76" fillId="0" borderId="18" xfId="0" applyFont="1" applyBorder="1" applyAlignment="1">
      <alignment horizontal="center" wrapText="1"/>
    </xf>
    <xf numFmtId="0" fontId="76" fillId="0" borderId="12" xfId="0" applyFont="1" applyBorder="1" applyAlignment="1">
      <alignment horizontal="center" wrapText="1"/>
    </xf>
    <xf numFmtId="0" fontId="76" fillId="0" borderId="1" xfId="0" applyFont="1" applyBorder="1" applyAlignment="1">
      <alignment horizontal="center" wrapText="1"/>
    </xf>
    <xf numFmtId="0" fontId="76" fillId="0" borderId="38" xfId="0" applyFont="1" applyBorder="1" applyAlignment="1">
      <alignment horizontal="center" wrapText="1"/>
    </xf>
    <xf numFmtId="0" fontId="76" fillId="0" borderId="61" xfId="0" applyFont="1" applyBorder="1" applyAlignment="1">
      <alignment horizontal="center"/>
    </xf>
    <xf numFmtId="0" fontId="76" fillId="0" borderId="22" xfId="0" applyFont="1" applyBorder="1" applyAlignment="1">
      <alignment horizontal="center"/>
    </xf>
    <xf numFmtId="0" fontId="0" fillId="46" borderId="59" xfId="0" applyFill="1" applyBorder="1" applyAlignment="1">
      <alignment horizontal="center"/>
    </xf>
    <xf numFmtId="0" fontId="0" fillId="46" borderId="13" xfId="0" applyFill="1" applyBorder="1" applyAlignment="1">
      <alignment horizontal="center"/>
    </xf>
    <xf numFmtId="0" fontId="54" fillId="0" borderId="29" xfId="0" applyFont="1" applyBorder="1" applyAlignment="1">
      <alignment horizontal="center" vertical="center"/>
    </xf>
    <xf numFmtId="0" fontId="54" fillId="0" borderId="19" xfId="0" applyFont="1" applyBorder="1" applyAlignment="1">
      <alignment horizontal="center" vertical="center"/>
    </xf>
    <xf numFmtId="0" fontId="54" fillId="0" borderId="30" xfId="0" applyFont="1" applyBorder="1" applyAlignment="1">
      <alignment horizontal="center" vertical="center"/>
    </xf>
    <xf numFmtId="0" fontId="71" fillId="32" borderId="61" xfId="0" applyFont="1" applyFill="1" applyBorder="1" applyAlignment="1">
      <alignment horizontal="center"/>
    </xf>
    <xf numFmtId="0" fontId="71" fillId="32" borderId="22" xfId="0" applyFont="1" applyFill="1" applyBorder="1" applyAlignment="1">
      <alignment horizontal="center"/>
    </xf>
    <xf numFmtId="0" fontId="23" fillId="32" borderId="28" xfId="0" applyFont="1" applyFill="1" applyBorder="1" applyAlignment="1">
      <alignment horizontal="center" wrapText="1"/>
    </xf>
    <xf numFmtId="0" fontId="23" fillId="32" borderId="4" xfId="0" applyFont="1" applyFill="1" applyBorder="1" applyAlignment="1">
      <alignment horizontal="center" wrapText="1"/>
    </xf>
    <xf numFmtId="0" fontId="23" fillId="32" borderId="69" xfId="0" applyFont="1" applyFill="1" applyBorder="1" applyAlignment="1">
      <alignment horizontal="center" wrapText="1"/>
    </xf>
    <xf numFmtId="0" fontId="23" fillId="32" borderId="7" xfId="0" applyFont="1" applyFill="1" applyBorder="1" applyAlignment="1">
      <alignment horizontal="center" wrapText="1"/>
    </xf>
    <xf numFmtId="0" fontId="77" fillId="32" borderId="48" xfId="0" applyFont="1" applyFill="1" applyBorder="1" applyAlignment="1">
      <alignment horizontal="center"/>
    </xf>
    <xf numFmtId="0" fontId="77" fillId="32" borderId="51" xfId="0" applyFont="1" applyFill="1" applyBorder="1" applyAlignment="1">
      <alignment horizontal="center"/>
    </xf>
    <xf numFmtId="0" fontId="78" fillId="61" borderId="12" xfId="0" applyFont="1" applyFill="1" applyBorder="1" applyAlignment="1">
      <alignment horizontal="center"/>
    </xf>
    <xf numFmtId="0" fontId="78" fillId="61" borderId="1" xfId="0" applyFont="1" applyFill="1" applyBorder="1" applyAlignment="1">
      <alignment horizontal="center"/>
    </xf>
    <xf numFmtId="0" fontId="92" fillId="32" borderId="79" xfId="0" applyFont="1" applyFill="1" applyBorder="1" applyAlignment="1">
      <alignment horizontal="center" vertical="top" wrapText="1"/>
    </xf>
    <xf numFmtId="0" fontId="92" fillId="32" borderId="80" xfId="0" applyFont="1" applyFill="1" applyBorder="1" applyAlignment="1">
      <alignment horizontal="center" vertical="top" wrapText="1"/>
    </xf>
    <xf numFmtId="0" fontId="92" fillId="32" borderId="81" xfId="0" applyFont="1" applyFill="1" applyBorder="1" applyAlignment="1">
      <alignment horizontal="center" vertical="top" wrapText="1"/>
    </xf>
    <xf numFmtId="0" fontId="92" fillId="32" borderId="82" xfId="0" applyFont="1" applyFill="1" applyBorder="1" applyAlignment="1">
      <alignment horizontal="center" vertical="top" wrapText="1"/>
    </xf>
    <xf numFmtId="0" fontId="92" fillId="32" borderId="0" xfId="0" applyFont="1" applyFill="1" applyBorder="1" applyAlignment="1">
      <alignment horizontal="center" vertical="top" wrapText="1"/>
    </xf>
    <xf numFmtId="0" fontId="92" fillId="32" borderId="83" xfId="0" applyFont="1" applyFill="1" applyBorder="1" applyAlignment="1">
      <alignment horizontal="center" vertical="top" wrapText="1"/>
    </xf>
    <xf numFmtId="0" fontId="92" fillId="32" borderId="84" xfId="0" applyFont="1" applyFill="1" applyBorder="1" applyAlignment="1">
      <alignment horizontal="center" vertical="top" wrapText="1"/>
    </xf>
    <xf numFmtId="0" fontId="92" fillId="32" borderId="85" xfId="0" applyFont="1" applyFill="1" applyBorder="1" applyAlignment="1">
      <alignment horizontal="center" vertical="top" wrapText="1"/>
    </xf>
    <xf numFmtId="0" fontId="92" fillId="32" borderId="86" xfId="0" applyFont="1" applyFill="1" applyBorder="1" applyAlignment="1">
      <alignment horizontal="center" vertical="top" wrapText="1"/>
    </xf>
    <xf numFmtId="0" fontId="43" fillId="34" borderId="24" xfId="0" applyFont="1" applyFill="1" applyBorder="1" applyAlignment="1">
      <alignment horizontal="center" vertical="center" wrapText="1"/>
    </xf>
    <xf numFmtId="0" fontId="43" fillId="34" borderId="67" xfId="0" applyFont="1" applyFill="1" applyBorder="1" applyAlignment="1">
      <alignment horizontal="center" vertical="center" wrapText="1"/>
    </xf>
    <xf numFmtId="0" fontId="0" fillId="46" borderId="2" xfId="0" applyFill="1" applyBorder="1" applyAlignment="1">
      <alignment horizontal="left"/>
    </xf>
    <xf numFmtId="0" fontId="0" fillId="46" borderId="0" xfId="0" applyFill="1" applyBorder="1" applyAlignment="1">
      <alignment horizontal="left"/>
    </xf>
    <xf numFmtId="0" fontId="0" fillId="46" borderId="6" xfId="0" applyFill="1" applyBorder="1" applyAlignment="1">
      <alignment horizontal="left"/>
    </xf>
    <xf numFmtId="0" fontId="0" fillId="0" borderId="8" xfId="0" applyBorder="1" applyAlignment="1">
      <alignment horizontal="center"/>
    </xf>
    <xf numFmtId="0" fontId="0" fillId="0" borderId="28" xfId="0" applyBorder="1" applyAlignment="1">
      <alignment horizontal="center"/>
    </xf>
    <xf numFmtId="0" fontId="0" fillId="0" borderId="4" xfId="0" applyBorder="1" applyAlignment="1">
      <alignment horizontal="center"/>
    </xf>
    <xf numFmtId="1" fontId="0" fillId="46" borderId="2" xfId="30" applyNumberFormat="1" applyFont="1" applyFill="1" applyBorder="1" applyAlignment="1">
      <alignment horizontal="center"/>
    </xf>
    <xf numFmtId="1" fontId="0" fillId="46" borderId="0" xfId="30" applyNumberFormat="1" applyFont="1" applyFill="1" applyBorder="1" applyAlignment="1">
      <alignment horizontal="center"/>
    </xf>
    <xf numFmtId="168" fontId="0" fillId="46" borderId="2" xfId="0" applyNumberFormat="1" applyFill="1" applyBorder="1" applyAlignment="1">
      <alignment horizontal="center"/>
    </xf>
    <xf numFmtId="0" fontId="0" fillId="46" borderId="0" xfId="0" applyFill="1" applyBorder="1" applyAlignment="1">
      <alignment horizontal="center"/>
    </xf>
    <xf numFmtId="168" fontId="0" fillId="46" borderId="0" xfId="0" applyNumberFormat="1" applyFill="1" applyBorder="1" applyAlignment="1">
      <alignment horizontal="center"/>
    </xf>
    <xf numFmtId="0" fontId="0" fillId="46" borderId="6" xfId="0" applyFill="1" applyBorder="1" applyAlignment="1">
      <alignment horizontal="center"/>
    </xf>
    <xf numFmtId="168" fontId="0" fillId="46" borderId="9" xfId="0" applyNumberFormat="1" applyFill="1" applyBorder="1" applyAlignment="1">
      <alignment horizontal="center"/>
    </xf>
    <xf numFmtId="0" fontId="0" fillId="46" borderId="11" xfId="0" applyFill="1" applyBorder="1" applyAlignment="1">
      <alignment horizontal="center"/>
    </xf>
    <xf numFmtId="168" fontId="0" fillId="46" borderId="11" xfId="0" applyNumberFormat="1" applyFill="1" applyBorder="1" applyAlignment="1">
      <alignment horizontal="center"/>
    </xf>
    <xf numFmtId="0" fontId="0" fillId="46" borderId="5" xfId="0" applyFill="1" applyBorder="1" applyAlignment="1">
      <alignment horizontal="center"/>
    </xf>
    <xf numFmtId="0" fontId="0" fillId="0" borderId="54" xfId="0" applyBorder="1" applyAlignment="1">
      <alignment horizontal="center"/>
    </xf>
    <xf numFmtId="0" fontId="0" fillId="0" borderId="32" xfId="0" applyBorder="1" applyAlignment="1">
      <alignment horizontal="center"/>
    </xf>
    <xf numFmtId="0" fontId="0" fillId="45" borderId="8" xfId="0" applyFill="1" applyBorder="1" applyAlignment="1">
      <alignment horizontal="center" vertical="center"/>
    </xf>
    <xf numFmtId="0" fontId="0" fillId="45" borderId="4" xfId="0" applyFill="1" applyBorder="1" applyAlignment="1">
      <alignment horizontal="center" vertical="center"/>
    </xf>
    <xf numFmtId="0" fontId="0" fillId="45" borderId="2" xfId="0" applyFill="1" applyBorder="1" applyAlignment="1">
      <alignment horizontal="center" vertical="center"/>
    </xf>
    <xf numFmtId="0" fontId="0" fillId="45" borderId="6" xfId="0" applyFill="1" applyBorder="1" applyAlignment="1">
      <alignment horizontal="center" vertical="center"/>
    </xf>
    <xf numFmtId="0" fontId="43" fillId="0" borderId="53" xfId="0" applyFont="1" applyBorder="1" applyAlignment="1">
      <alignment horizontal="center" vertical="center" wrapText="1"/>
    </xf>
    <xf numFmtId="0" fontId="43" fillId="0" borderId="49" xfId="0" applyFont="1" applyBorder="1" applyAlignment="1">
      <alignment horizontal="center" vertical="center" wrapText="1"/>
    </xf>
    <xf numFmtId="0" fontId="0" fillId="40" borderId="71" xfId="0" applyFill="1" applyBorder="1" applyAlignment="1">
      <alignment horizontal="center"/>
    </xf>
    <xf numFmtId="0" fontId="0" fillId="40" borderId="27" xfId="0" applyFill="1" applyBorder="1" applyAlignment="1">
      <alignment horizontal="center"/>
    </xf>
    <xf numFmtId="0" fontId="0" fillId="40" borderId="72" xfId="0" applyFill="1" applyBorder="1" applyAlignment="1">
      <alignment horizontal="center"/>
    </xf>
    <xf numFmtId="0" fontId="0" fillId="35" borderId="43" xfId="0" applyFill="1" applyBorder="1" applyAlignment="1">
      <alignment horizontal="center"/>
    </xf>
    <xf numFmtId="0" fontId="0" fillId="35" borderId="13" xfId="0" applyFill="1" applyBorder="1" applyAlignment="1">
      <alignment horizontal="center"/>
    </xf>
    <xf numFmtId="0" fontId="0" fillId="35" borderId="36" xfId="0" applyFill="1" applyBorder="1" applyAlignment="1">
      <alignment horizontal="center"/>
    </xf>
  </cellXfs>
  <cellStyles count="82">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8" builtinId="20" customBuiltin="1"/>
    <cellStyle name="Insatisfaisant" xfId="29" builtinId="27" customBuiltin="1"/>
    <cellStyle name="Lien hypertexte" xfId="37" builtinId="8" hidden="1"/>
    <cellStyle name="Lien hypertexte" xfId="39" builtinId="8" hidden="1"/>
    <cellStyle name="Lien hypertexte" xfId="42" builtinId="8"/>
    <cellStyle name="Lien hypertexte visité" xfId="38" builtinId="9" hidden="1"/>
    <cellStyle name="Lien hypertexte visité" xfId="40" builtinId="9" hidden="1"/>
    <cellStyle name="Lien hypertexte visité" xfId="41" builtinId="9" hidden="1"/>
    <cellStyle name="Lien hypertexte visité" xfId="43" builtinId="9" hidden="1"/>
    <cellStyle name="Lien hypertexte visité" xfId="44" builtinId="9" hidden="1"/>
    <cellStyle name="Lien hypertexte visité" xfId="45" builtinId="9" hidden="1"/>
    <cellStyle name="Lien hypertexte visité" xfId="46" builtinId="9" hidden="1"/>
    <cellStyle name="Lien hypertexte visité" xfId="47" builtinId="9" hidden="1"/>
    <cellStyle name="Lien hypertexte visité" xfId="48" builtinId="9" hidden="1"/>
    <cellStyle name="Lien hypertexte visité" xfId="49" builtinId="9" hidden="1"/>
    <cellStyle name="Lien hypertexte visité" xfId="50" builtinId="9" hidden="1"/>
    <cellStyle name="Lien hypertexte visité" xfId="51" builtinId="9" hidden="1"/>
    <cellStyle name="Lien hypertexte visité" xfId="52" builtinId="9" hidden="1"/>
    <cellStyle name="Lien hypertexte visité" xfId="53" builtinId="9" hidden="1"/>
    <cellStyle name="Lien hypertexte visité" xfId="54" builtinId="9" hidden="1"/>
    <cellStyle name="Lien hypertexte visité" xfId="55" builtinId="9" hidden="1"/>
    <cellStyle name="Lien hypertexte visité" xfId="56" builtinId="9" hidden="1"/>
    <cellStyle name="Lien hypertexte visité" xfId="57" builtinId="9" hidden="1"/>
    <cellStyle name="Lien hypertexte visité" xfId="58" builtinId="9" hidden="1"/>
    <cellStyle name="Lien hypertexte visité" xfId="59" builtinId="9" hidden="1"/>
    <cellStyle name="Lien hypertexte visité" xfId="60" builtinId="9" hidden="1"/>
    <cellStyle name="Lien hypertexte visité" xfId="61" builtinId="9" hidden="1"/>
    <cellStyle name="Lien hypertexte visité" xfId="62" builtinId="9" hidden="1"/>
    <cellStyle name="Lien hypertexte visité" xfId="63" builtinId="9" hidden="1"/>
    <cellStyle name="Lien hypertexte visité" xfId="64" builtinId="9" hidden="1"/>
    <cellStyle name="Lien hypertexte visité" xfId="65" builtinId="9" hidden="1"/>
    <cellStyle name="Lien hypertexte visité" xfId="66" builtinId="9" hidden="1"/>
    <cellStyle name="Lien hypertexte visité" xfId="67" builtinId="9" hidden="1"/>
    <cellStyle name="Lien hypertexte visité" xfId="68" builtinId="9" hidden="1"/>
    <cellStyle name="Lien hypertexte visité" xfId="69" builtinId="9" hidden="1"/>
    <cellStyle name="Lien hypertexte visité" xfId="70" builtinId="9" hidden="1"/>
    <cellStyle name="Lien hypertexte visité" xfId="71" builtinId="9" hidden="1"/>
    <cellStyle name="Lien hypertexte visité" xfId="72" builtinId="9" hidden="1"/>
    <cellStyle name="Lien hypertexte visité" xfId="73" builtinId="9" hidden="1"/>
    <cellStyle name="Lien hypertexte visité" xfId="74" builtinId="9" hidden="1"/>
    <cellStyle name="Lien hypertexte visité" xfId="75" builtinId="9" hidden="1"/>
    <cellStyle name="Lien hypertexte visité" xfId="76" builtinId="9" hidden="1"/>
    <cellStyle name="Lien hypertexte visité" xfId="77" builtinId="9" hidden="1"/>
    <cellStyle name="Lien hypertexte visité" xfId="78" builtinId="9" hidden="1"/>
    <cellStyle name="Lien hypertexte visité" xfId="79" builtinId="9" hidden="1"/>
    <cellStyle name="Lien hypertexte visité" xfId="80" builtinId="9" hidden="1"/>
    <cellStyle name="Lien hypertexte visité" xfId="81" builtinId="9" hidden="1"/>
    <cellStyle name="Monétaire" xfId="30" builtinId="4"/>
    <cellStyle name="Neutre" xfId="31" builtinId="28" customBuiltin="1"/>
    <cellStyle name="Normal" xfId="0" builtinId="0"/>
    <cellStyle name="Normal 2" xfId="32"/>
    <cellStyle name="Pourcentage" xfId="33" builtinId="5"/>
    <cellStyle name="Sortie" xfId="34" builtinId="21" customBuiltin="1"/>
    <cellStyle name="Texte explicatif" xfId="35" builtinId="53" customBuiltin="1"/>
    <cellStyle name="Total" xfId="36" builtinId="25" customBuiltin="1"/>
  </cellStyles>
  <dxfs count="46">
    <dxf>
      <fill>
        <patternFill>
          <bgColor theme="4" tint="0.79998168889431442"/>
        </patternFill>
      </fill>
    </dxf>
    <dxf>
      <fill>
        <patternFill>
          <bgColor theme="4" tint="0.39994506668294322"/>
        </patternFill>
      </fill>
    </dxf>
    <dxf>
      <fill>
        <patternFill>
          <bgColor theme="4" tint="-0.49998474074526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rgb="FFFFEB9C"/>
        </patternFill>
      </fill>
    </dxf>
    <dxf>
      <font>
        <color auto="1"/>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indexed="60"/>
      </font>
      <fill>
        <patternFill>
          <bgColor indexed="26"/>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ill>
        <patternFill>
          <bgColor rgb="FF00B050"/>
        </patternFill>
      </fill>
    </dxf>
    <dxf>
      <fill>
        <patternFill>
          <bgColor rgb="FFFF0000"/>
        </patternFill>
      </fill>
    </dxf>
    <dxf>
      <fill>
        <patternFill>
          <bgColor rgb="FFFFFF00"/>
        </patternFill>
      </fill>
    </dxf>
    <dxf>
      <font>
        <color auto="1"/>
      </font>
      <fill>
        <patternFill patternType="solid">
          <fgColor indexed="64"/>
          <bgColor rgb="FF00B050"/>
        </patternFill>
      </fill>
    </dxf>
    <dxf>
      <fill>
        <patternFill>
          <bgColor rgb="FF92D050"/>
        </patternFill>
      </fill>
    </dxf>
    <dxf>
      <fill>
        <patternFill>
          <bgColor rgb="FFFFFF00"/>
        </patternFill>
      </fill>
    </dxf>
    <dxf>
      <font>
        <color auto="1"/>
      </font>
      <fill>
        <patternFill patternType="solid">
          <fgColor indexed="64"/>
          <bgColor rgb="FF92D050"/>
        </patternFill>
      </fill>
    </dxf>
    <dxf>
      <fill>
        <patternFill>
          <bgColor rgb="FF00B050"/>
        </patternFill>
      </fill>
    </dxf>
    <dxf>
      <font>
        <color auto="1"/>
      </font>
      <fill>
        <patternFill patternType="solid">
          <fgColor indexed="64"/>
          <bgColor rgb="FFFFFF00"/>
        </patternFill>
      </fill>
    </dxf>
    <dxf>
      <font>
        <b/>
        <i val="0"/>
        <name val="Calibri Light"/>
        <scheme val="none"/>
      </font>
      <fill>
        <patternFill>
          <bgColor rgb="FF00B050"/>
        </patternFill>
      </fill>
    </dxf>
    <dxf>
      <font>
        <b/>
        <i val="0"/>
      </font>
      <fill>
        <patternFill>
          <bgColor rgb="FFFFFF00"/>
        </patternFill>
      </fill>
    </dxf>
    <dxf>
      <font>
        <b/>
        <i val="0"/>
      </font>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 Id="rId17" Type="http://schemas.openxmlformats.org/officeDocument/2006/relationships/calcChain" Target="calcChain.xml"/><Relationship Id="rId18" Type="http://schemas.microsoft.com/office/2006/relationships/vbaProject" Target="vbaProject.bin"/><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9098745926293"/>
          <c:y val="0.0016529413380013"/>
          <c:w val="0.524449134405153"/>
          <c:h val="0.94074986075209"/>
        </c:manualLayout>
      </c:layout>
      <c:barChart>
        <c:barDir val="bar"/>
        <c:grouping val="stacked"/>
        <c:varyColors val="0"/>
        <c:ser>
          <c:idx val="0"/>
          <c:order val="0"/>
          <c:tx>
            <c:strRef>
              <c:f>Traitement_resultats!$A$28</c:f>
              <c:strCache>
                <c:ptCount val="1"/>
                <c:pt idx="0">
                  <c:v>Azote</c:v>
                </c:pt>
              </c:strCache>
            </c:strRef>
          </c:tx>
          <c:spPr>
            <a:solidFill>
              <a:srgbClr val="B580FC"/>
            </a:solidFill>
            <a:ln w="25400">
              <a:noFill/>
            </a:ln>
          </c:spPr>
          <c:invertIfNegative val="0"/>
          <c:cat>
            <c:numRef>
              <c:f>Traitement_resultats!$B$27:$AB$27</c:f>
              <c:numCache>
                <c:formatCode>General</c:formatCode>
                <c:ptCount val="27"/>
              </c:numCache>
            </c:numRef>
          </c:cat>
          <c:val>
            <c:numRef>
              <c:f>Traitement_resultats!$B$28:$AA$28</c:f>
              <c:numCache>
                <c:formatCode>0.0</c:formatCode>
                <c:ptCount val="26"/>
              </c:numCache>
            </c:numRef>
          </c:val>
        </c:ser>
        <c:ser>
          <c:idx val="1"/>
          <c:order val="1"/>
          <c:tx>
            <c:strRef>
              <c:f>Traitement_resultats!$A$29</c:f>
              <c:strCache>
                <c:ptCount val="1"/>
                <c:pt idx="0">
                  <c:v>Detourner les limaces</c:v>
                </c:pt>
              </c:strCache>
            </c:strRef>
          </c:tx>
          <c:spPr>
            <a:solidFill>
              <a:srgbClr val="BF9000"/>
            </a:solidFill>
            <a:ln w="25400">
              <a:noFill/>
            </a:ln>
          </c:spPr>
          <c:invertIfNegative val="0"/>
          <c:cat>
            <c:numRef>
              <c:f>Traitement_resultats!$B$27:$AB$27</c:f>
              <c:numCache>
                <c:formatCode>General</c:formatCode>
                <c:ptCount val="27"/>
              </c:numCache>
            </c:numRef>
          </c:cat>
          <c:val>
            <c:numRef>
              <c:f>Traitement_resultats!$B$29:$AA$29</c:f>
              <c:numCache>
                <c:formatCode>0.0</c:formatCode>
                <c:ptCount val="26"/>
              </c:numCache>
            </c:numRef>
          </c:val>
        </c:ser>
        <c:ser>
          <c:idx val="2"/>
          <c:order val="2"/>
          <c:tx>
            <c:strRef>
              <c:f>Traitement_resultats!$A$30</c:f>
              <c:strCache>
                <c:ptCount val="1"/>
                <c:pt idx="0">
                  <c:v>perturber les insectes automne</c:v>
                </c:pt>
              </c:strCache>
            </c:strRef>
          </c:tx>
          <c:spPr>
            <a:solidFill>
              <a:srgbClr val="FFC000"/>
            </a:solidFill>
            <a:ln w="25400">
              <a:noFill/>
            </a:ln>
          </c:spPr>
          <c:invertIfNegative val="0"/>
          <c:cat>
            <c:numRef>
              <c:f>Traitement_resultats!$B$27:$AB$27</c:f>
              <c:numCache>
                <c:formatCode>General</c:formatCode>
                <c:ptCount val="27"/>
              </c:numCache>
            </c:numRef>
          </c:cat>
          <c:val>
            <c:numRef>
              <c:f>Traitement_resultats!$B$30:$AA$30</c:f>
              <c:numCache>
                <c:formatCode>0.0</c:formatCode>
                <c:ptCount val="26"/>
              </c:numCache>
            </c:numRef>
          </c:val>
        </c:ser>
        <c:ser>
          <c:idx val="3"/>
          <c:order val="3"/>
          <c:tx>
            <c:strRef>
              <c:f>Traitement_resultats!$A$31</c:f>
              <c:strCache>
                <c:ptCount val="1"/>
                <c:pt idx="0">
                  <c:v>Favoriser les auxiliaires</c:v>
                </c:pt>
              </c:strCache>
            </c:strRef>
          </c:tx>
          <c:spPr>
            <a:solidFill>
              <a:srgbClr val="FFE699"/>
            </a:solidFill>
            <a:ln w="25400">
              <a:noFill/>
            </a:ln>
          </c:spPr>
          <c:invertIfNegative val="0"/>
          <c:cat>
            <c:numRef>
              <c:f>Traitement_resultats!$B$27:$AB$27</c:f>
              <c:numCache>
                <c:formatCode>General</c:formatCode>
                <c:ptCount val="27"/>
              </c:numCache>
            </c:numRef>
          </c:cat>
          <c:val>
            <c:numRef>
              <c:f>Traitement_resultats!$B$31:$AA$31</c:f>
              <c:numCache>
                <c:formatCode>0.0</c:formatCode>
                <c:ptCount val="26"/>
              </c:numCache>
            </c:numRef>
          </c:val>
        </c:ser>
        <c:ser>
          <c:idx val="4"/>
          <c:order val="4"/>
          <c:tx>
            <c:strRef>
              <c:f>Traitement_resultats!$A$32</c:f>
              <c:strCache>
                <c:ptCount val="1"/>
                <c:pt idx="0">
                  <c:v>Régulation adventices automne</c:v>
                </c:pt>
              </c:strCache>
            </c:strRef>
          </c:tx>
          <c:spPr>
            <a:solidFill>
              <a:srgbClr val="70AD47"/>
            </a:solidFill>
            <a:ln w="25400">
              <a:noFill/>
            </a:ln>
          </c:spPr>
          <c:invertIfNegative val="0"/>
          <c:cat>
            <c:numRef>
              <c:f>Traitement_resultats!$B$27:$AB$27</c:f>
              <c:numCache>
                <c:formatCode>General</c:formatCode>
                <c:ptCount val="27"/>
              </c:numCache>
            </c:numRef>
          </c:cat>
          <c:val>
            <c:numRef>
              <c:f>Traitement_resultats!$B$32:$AA$32</c:f>
              <c:numCache>
                <c:formatCode>0.0</c:formatCode>
                <c:ptCount val="26"/>
              </c:numCache>
            </c:numRef>
          </c:val>
        </c:ser>
        <c:ser>
          <c:idx val="5"/>
          <c:order val="5"/>
          <c:tx>
            <c:strRef>
              <c:f>Traitement_resultats!$A$33</c:f>
              <c:strCache>
                <c:ptCount val="1"/>
                <c:pt idx="0">
                  <c:v>Régulation adventices printemps</c:v>
                </c:pt>
              </c:strCache>
            </c:strRef>
          </c:tx>
          <c:spPr>
            <a:solidFill>
              <a:srgbClr val="A9D18E"/>
            </a:solidFill>
            <a:ln w="25400">
              <a:noFill/>
            </a:ln>
          </c:spPr>
          <c:invertIfNegative val="0"/>
          <c:cat>
            <c:numRef>
              <c:f>Traitement_resultats!$B$27:$AB$27</c:f>
              <c:numCache>
                <c:formatCode>General</c:formatCode>
                <c:ptCount val="27"/>
              </c:numCache>
            </c:numRef>
          </c:cat>
          <c:val>
            <c:numRef>
              <c:f>Traitement_resultats!$B$33:$AA$33</c:f>
              <c:numCache>
                <c:formatCode>0.0</c:formatCode>
                <c:ptCount val="26"/>
              </c:numCache>
            </c:numRef>
          </c:val>
        </c:ser>
        <c:ser>
          <c:idx val="6"/>
          <c:order val="6"/>
          <c:tx>
            <c:strRef>
              <c:f>Traitement_resultats!$A$34</c:f>
              <c:strCache>
                <c:ptCount val="1"/>
                <c:pt idx="0">
                  <c:v>Régulation Orobanche rameuse</c:v>
                </c:pt>
              </c:strCache>
            </c:strRef>
          </c:tx>
          <c:spPr>
            <a:solidFill>
              <a:srgbClr val="E2F0D9"/>
            </a:solidFill>
            <a:ln w="25400">
              <a:noFill/>
            </a:ln>
          </c:spPr>
          <c:invertIfNegative val="0"/>
          <c:cat>
            <c:numRef>
              <c:f>Traitement_resultats!$B$27:$AB$27</c:f>
              <c:numCache>
                <c:formatCode>General</c:formatCode>
                <c:ptCount val="27"/>
              </c:numCache>
            </c:numRef>
          </c:cat>
          <c:val>
            <c:numRef>
              <c:f>Traitement_resultats!$B$34:$AA$34</c:f>
              <c:numCache>
                <c:formatCode>0.0</c:formatCode>
                <c:ptCount val="26"/>
              </c:numCache>
            </c:numRef>
          </c:val>
        </c:ser>
        <c:ser>
          <c:idx val="7"/>
          <c:order val="7"/>
          <c:tx>
            <c:strRef>
              <c:f>Traitement_resultats!$A$35</c:f>
              <c:strCache>
                <c:ptCount val="1"/>
                <c:pt idx="0">
                  <c:v>Récolte grain automne</c:v>
                </c:pt>
              </c:strCache>
            </c:strRef>
          </c:tx>
          <c:spPr>
            <a:solidFill>
              <a:srgbClr val="C55A11"/>
            </a:solidFill>
            <a:ln w="25400">
              <a:noFill/>
            </a:ln>
          </c:spPr>
          <c:invertIfNegative val="0"/>
          <c:cat>
            <c:numRef>
              <c:f>Traitement_resultats!$B$27:$AB$27</c:f>
              <c:numCache>
                <c:formatCode>General</c:formatCode>
                <c:ptCount val="27"/>
              </c:numCache>
            </c:numRef>
          </c:cat>
          <c:val>
            <c:numRef>
              <c:f>Traitement_resultats!$B$35:$AA$35</c:f>
              <c:numCache>
                <c:formatCode>0.0</c:formatCode>
                <c:ptCount val="26"/>
              </c:numCache>
            </c:numRef>
          </c:val>
        </c:ser>
        <c:ser>
          <c:idx val="8"/>
          <c:order val="8"/>
          <c:tx>
            <c:strRef>
              <c:f>Traitement_resultats!$A$36</c:f>
              <c:strCache>
                <c:ptCount val="1"/>
                <c:pt idx="0">
                  <c:v>Récolte grain été</c:v>
                </c:pt>
              </c:strCache>
            </c:strRef>
          </c:tx>
          <c:spPr>
            <a:solidFill>
              <a:srgbClr val="EB6B86"/>
            </a:solidFill>
            <a:ln w="25400">
              <a:noFill/>
            </a:ln>
          </c:spPr>
          <c:invertIfNegative val="0"/>
          <c:cat>
            <c:numRef>
              <c:f>Traitement_resultats!$B$27:$AB$27</c:f>
              <c:numCache>
                <c:formatCode>General</c:formatCode>
                <c:ptCount val="27"/>
              </c:numCache>
            </c:numRef>
          </c:cat>
          <c:val>
            <c:numRef>
              <c:f>Traitement_resultats!$B$36:$AA$36</c:f>
              <c:numCache>
                <c:formatCode>0.0</c:formatCode>
                <c:ptCount val="26"/>
              </c:numCache>
            </c:numRef>
          </c:val>
        </c:ser>
        <c:ser>
          <c:idx val="9"/>
          <c:order val="9"/>
          <c:tx>
            <c:strRef>
              <c:f>Traitement_resultats!$A$37</c:f>
              <c:strCache>
                <c:ptCount val="1"/>
                <c:pt idx="0">
                  <c:v>Récolte PS fourrage</c:v>
                </c:pt>
              </c:strCache>
            </c:strRef>
          </c:tx>
          <c:spPr>
            <a:solidFill>
              <a:srgbClr val="F8CBAD"/>
            </a:solidFill>
            <a:ln w="25400">
              <a:noFill/>
            </a:ln>
          </c:spPr>
          <c:invertIfNegative val="0"/>
          <c:cat>
            <c:numRef>
              <c:f>Traitement_resultats!$B$27:$AB$27</c:f>
              <c:numCache>
                <c:formatCode>General</c:formatCode>
                <c:ptCount val="27"/>
              </c:numCache>
            </c:numRef>
          </c:cat>
          <c:val>
            <c:numRef>
              <c:f>Traitement_resultats!$B$37:$AA$37</c:f>
              <c:numCache>
                <c:formatCode>0.0</c:formatCode>
                <c:ptCount val="26"/>
              </c:numCache>
            </c:numRef>
          </c:val>
        </c:ser>
        <c:dLbls>
          <c:showLegendKey val="0"/>
          <c:showVal val="0"/>
          <c:showCatName val="0"/>
          <c:showSerName val="0"/>
          <c:showPercent val="0"/>
          <c:showBubbleSize val="0"/>
        </c:dLbls>
        <c:gapWidth val="95"/>
        <c:overlap val="100"/>
        <c:axId val="-2090796152"/>
        <c:axId val="-2090799704"/>
      </c:barChart>
      <c:catAx>
        <c:axId val="-2090796152"/>
        <c:scaling>
          <c:orientation val="minMax"/>
        </c:scaling>
        <c:delete val="1"/>
        <c:axPos val="l"/>
        <c:numFmt formatCode="General" sourceLinked="0"/>
        <c:majorTickMark val="out"/>
        <c:minorTickMark val="none"/>
        <c:tickLblPos val="nextTo"/>
        <c:crossAx val="-2090799704"/>
        <c:crosses val="autoZero"/>
        <c:auto val="1"/>
        <c:lblAlgn val="ctr"/>
        <c:lblOffset val="100"/>
        <c:noMultiLvlLbl val="0"/>
      </c:catAx>
      <c:valAx>
        <c:axId val="-2090799704"/>
        <c:scaling>
          <c:orientation val="minMax"/>
        </c:scaling>
        <c:delete val="1"/>
        <c:axPos val="b"/>
        <c:numFmt formatCode="0.0" sourceLinked="1"/>
        <c:majorTickMark val="out"/>
        <c:minorTickMark val="none"/>
        <c:tickLblPos val="nextTo"/>
        <c:crossAx val="-2090796152"/>
        <c:crosses val="autoZero"/>
        <c:crossBetween val="between"/>
      </c:valAx>
      <c:spPr>
        <a:noFill/>
        <a:ln w="25400">
          <a:noFill/>
        </a:ln>
      </c:spPr>
    </c:plotArea>
    <c:plotVisOnly val="0"/>
    <c:dispBlanksAs val="gap"/>
    <c:showDLblsOverMax val="0"/>
  </c:chart>
  <c:spPr>
    <a:noFill/>
    <a:ln w="6350">
      <a:noFill/>
    </a:ln>
  </c:spPr>
  <c:txPr>
    <a:bodyPr/>
    <a:lstStyle/>
    <a:p>
      <a:pPr>
        <a:defRPr sz="105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1" Type="http://schemas.openxmlformats.org/officeDocument/2006/relationships/image" Target="../media/image10.jpeg"/><Relationship Id="rId12" Type="http://schemas.openxmlformats.org/officeDocument/2006/relationships/image" Target="../media/image11.png"/><Relationship Id="rId13" Type="http://schemas.openxmlformats.org/officeDocument/2006/relationships/image" Target="../media/image12.png"/><Relationship Id="rId14" Type="http://schemas.openxmlformats.org/officeDocument/2006/relationships/image" Target="../media/image13.png"/><Relationship Id="rId15" Type="http://schemas.openxmlformats.org/officeDocument/2006/relationships/image" Target="../media/image14.png"/><Relationship Id="rId16" Type="http://schemas.openxmlformats.org/officeDocument/2006/relationships/image" Target="../media/image15.png"/><Relationship Id="rId17" Type="http://schemas.openxmlformats.org/officeDocument/2006/relationships/image" Target="../media/image16.png"/><Relationship Id="rId1" Type="http://schemas.openxmlformats.org/officeDocument/2006/relationships/image" Target="../media/image1.pn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jpeg"/><Relationship Id="rId5" Type="http://schemas.openxmlformats.org/officeDocument/2006/relationships/image" Target="file://localhost/%5C%5Chttp%5Cwww.groupe-esa.com%5Cimages%5Clogo2.jpg" TargetMode="External"/><Relationship Id="rId6" Type="http://schemas.openxmlformats.org/officeDocument/2006/relationships/image" Target="../media/image5.png"/><Relationship Id="rId7" Type="http://schemas.openxmlformats.org/officeDocument/2006/relationships/image" Target="../media/image6.png"/><Relationship Id="rId8" Type="http://schemas.openxmlformats.org/officeDocument/2006/relationships/image" Target="../media/image7.png"/><Relationship Id="rId9" Type="http://schemas.openxmlformats.org/officeDocument/2006/relationships/image" Target="../media/image8.png"/><Relationship Id="rId10"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7.emf"/><Relationship Id="rId2" Type="http://schemas.openxmlformats.org/officeDocument/2006/relationships/image" Target="../media/image18.png"/></Relationships>
</file>

<file path=xl/drawings/_rels/drawing3.xml.rels><?xml version="1.0" encoding="UTF-8" standalone="yes"?>
<Relationships xmlns="http://schemas.openxmlformats.org/package/2006/relationships"><Relationship Id="rId9" Type="http://schemas.openxmlformats.org/officeDocument/2006/relationships/image" Target="../media/image27.jpg"/><Relationship Id="rId20" Type="http://schemas.openxmlformats.org/officeDocument/2006/relationships/image" Target="../media/image38.jpg"/><Relationship Id="rId21" Type="http://schemas.openxmlformats.org/officeDocument/2006/relationships/image" Target="../media/image39.jpg"/><Relationship Id="rId22" Type="http://schemas.openxmlformats.org/officeDocument/2006/relationships/image" Target="../media/image40.jpg"/><Relationship Id="rId23" Type="http://schemas.openxmlformats.org/officeDocument/2006/relationships/image" Target="../media/image41.jpg"/><Relationship Id="rId24" Type="http://schemas.openxmlformats.org/officeDocument/2006/relationships/image" Target="../media/image42.jpg"/><Relationship Id="rId25" Type="http://schemas.openxmlformats.org/officeDocument/2006/relationships/image" Target="../media/image43.jpg"/><Relationship Id="rId10" Type="http://schemas.openxmlformats.org/officeDocument/2006/relationships/image" Target="../media/image28.jpg"/><Relationship Id="rId11" Type="http://schemas.openxmlformats.org/officeDocument/2006/relationships/image" Target="../media/image29.jpg"/><Relationship Id="rId12" Type="http://schemas.openxmlformats.org/officeDocument/2006/relationships/image" Target="../media/image30.jpg"/><Relationship Id="rId13" Type="http://schemas.openxmlformats.org/officeDocument/2006/relationships/image" Target="../media/image31.jpg"/><Relationship Id="rId14" Type="http://schemas.openxmlformats.org/officeDocument/2006/relationships/image" Target="../media/image32.png"/><Relationship Id="rId15" Type="http://schemas.openxmlformats.org/officeDocument/2006/relationships/image" Target="../media/image33.jpg"/><Relationship Id="rId16" Type="http://schemas.openxmlformats.org/officeDocument/2006/relationships/image" Target="../media/image34.jpg"/><Relationship Id="rId17" Type="http://schemas.openxmlformats.org/officeDocument/2006/relationships/image" Target="../media/image35.jpg"/><Relationship Id="rId18" Type="http://schemas.openxmlformats.org/officeDocument/2006/relationships/image" Target="../media/image36.jpg"/><Relationship Id="rId19" Type="http://schemas.openxmlformats.org/officeDocument/2006/relationships/image" Target="../media/image37.jpg"/><Relationship Id="rId1" Type="http://schemas.openxmlformats.org/officeDocument/2006/relationships/image" Target="../media/image19.png"/><Relationship Id="rId2" Type="http://schemas.openxmlformats.org/officeDocument/2006/relationships/image" Target="../media/image20.jpeg"/><Relationship Id="rId3" Type="http://schemas.openxmlformats.org/officeDocument/2006/relationships/image" Target="../media/image21.jpeg"/><Relationship Id="rId4" Type="http://schemas.openxmlformats.org/officeDocument/2006/relationships/image" Target="../media/image22.jpeg"/><Relationship Id="rId5" Type="http://schemas.openxmlformats.org/officeDocument/2006/relationships/image" Target="../media/image23.png"/><Relationship Id="rId6" Type="http://schemas.openxmlformats.org/officeDocument/2006/relationships/image" Target="../media/image24.jpeg"/><Relationship Id="rId7" Type="http://schemas.openxmlformats.org/officeDocument/2006/relationships/image" Target="../media/image25.png"/><Relationship Id="rId8" Type="http://schemas.openxmlformats.org/officeDocument/2006/relationships/image" Target="../media/image26.jp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19</xdr:row>
      <xdr:rowOff>0</xdr:rowOff>
    </xdr:from>
    <xdr:to>
      <xdr:col>16</xdr:col>
      <xdr:colOff>215900</xdr:colOff>
      <xdr:row>37</xdr:row>
      <xdr:rowOff>101600</xdr:rowOff>
    </xdr:to>
    <xdr:sp macro="" textlink="">
      <xdr:nvSpPr>
        <xdr:cNvPr id="2577834" name="AutoShape 6492" descr="ésultat de recherche d'images pour &quot;creative commons&quot;"/>
        <xdr:cNvSpPr>
          <a:spLocks noChangeAspect="1" noChangeArrowheads="1"/>
        </xdr:cNvSpPr>
      </xdr:nvSpPr>
      <xdr:spPr bwMode="auto">
        <a:xfrm>
          <a:off x="18034000" y="9067800"/>
          <a:ext cx="635000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fr-FR"/>
        </a:p>
      </xdr:txBody>
    </xdr:sp>
    <xdr:clientData/>
  </xdr:twoCellAnchor>
  <xdr:twoCellAnchor editAs="oneCell">
    <xdr:from>
      <xdr:col>0</xdr:col>
      <xdr:colOff>8712200</xdr:colOff>
      <xdr:row>20</xdr:row>
      <xdr:rowOff>152400</xdr:rowOff>
    </xdr:from>
    <xdr:to>
      <xdr:col>5</xdr:col>
      <xdr:colOff>520700</xdr:colOff>
      <xdr:row>39</xdr:row>
      <xdr:rowOff>76199</xdr:rowOff>
    </xdr:to>
    <xdr:sp macro="" textlink="">
      <xdr:nvSpPr>
        <xdr:cNvPr id="2577835" name="AutoShape 6493" descr="ésultat de recherche d'images pour &quot;creative commons&quot;"/>
        <xdr:cNvSpPr>
          <a:spLocks noChangeAspect="1" noChangeArrowheads="1"/>
        </xdr:cNvSpPr>
      </xdr:nvSpPr>
      <xdr:spPr bwMode="auto">
        <a:xfrm>
          <a:off x="8712200" y="9398000"/>
          <a:ext cx="633730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fr-FR"/>
        </a:p>
      </xdr:txBody>
    </xdr:sp>
    <xdr:clientData/>
  </xdr:twoCellAnchor>
  <xdr:twoCellAnchor editAs="oneCell">
    <xdr:from>
      <xdr:col>0</xdr:col>
      <xdr:colOff>6579347</xdr:colOff>
      <xdr:row>23</xdr:row>
      <xdr:rowOff>1495</xdr:rowOff>
    </xdr:from>
    <xdr:to>
      <xdr:col>0</xdr:col>
      <xdr:colOff>9846795</xdr:colOff>
      <xdr:row>30</xdr:row>
      <xdr:rowOff>26894</xdr:rowOff>
    </xdr:to>
    <xdr:pic>
      <xdr:nvPicPr>
        <xdr:cNvPr id="2577836" name="Picture 6494" descr="ésultat de recherche d'images pour &quot;creative commons&quo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9347" y="11386671"/>
          <a:ext cx="3267448" cy="1295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51</xdr:row>
      <xdr:rowOff>0</xdr:rowOff>
    </xdr:from>
    <xdr:to>
      <xdr:col>0</xdr:col>
      <xdr:colOff>3784600</xdr:colOff>
      <xdr:row>78</xdr:row>
      <xdr:rowOff>50801</xdr:rowOff>
    </xdr:to>
    <xdr:sp macro="" textlink="">
      <xdr:nvSpPr>
        <xdr:cNvPr id="2577837" name="AutoShape 412" descr="ésultats de recherche d'images pour « ministere de l'agriculture »"/>
        <xdr:cNvSpPr>
          <a:spLocks noChangeAspect="1" noChangeArrowheads="1"/>
        </xdr:cNvSpPr>
      </xdr:nvSpPr>
      <xdr:spPr bwMode="auto">
        <a:xfrm>
          <a:off x="0" y="14770100"/>
          <a:ext cx="3784600" cy="485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fr-FR"/>
        </a:p>
      </xdr:txBody>
    </xdr:sp>
    <xdr:clientData/>
  </xdr:twoCellAnchor>
  <xdr:twoCellAnchor editAs="oneCell">
    <xdr:from>
      <xdr:col>0</xdr:col>
      <xdr:colOff>0</xdr:colOff>
      <xdr:row>53</xdr:row>
      <xdr:rowOff>0</xdr:rowOff>
    </xdr:from>
    <xdr:to>
      <xdr:col>0</xdr:col>
      <xdr:colOff>3784600</xdr:colOff>
      <xdr:row>80</xdr:row>
      <xdr:rowOff>50801</xdr:rowOff>
    </xdr:to>
    <xdr:sp macro="" textlink="">
      <xdr:nvSpPr>
        <xdr:cNvPr id="2577838" name="AutoShape 413" descr="ésultats de recherche d'images pour « ministere de l'agriculture »"/>
        <xdr:cNvSpPr>
          <a:spLocks noChangeAspect="1" noChangeArrowheads="1"/>
        </xdr:cNvSpPr>
      </xdr:nvSpPr>
      <xdr:spPr bwMode="auto">
        <a:xfrm>
          <a:off x="0" y="15125700"/>
          <a:ext cx="3784600" cy="485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fr-FR"/>
        </a:p>
      </xdr:txBody>
    </xdr:sp>
    <xdr:clientData/>
  </xdr:twoCellAnchor>
  <xdr:twoCellAnchor editAs="oneCell">
    <xdr:from>
      <xdr:col>0</xdr:col>
      <xdr:colOff>0</xdr:colOff>
      <xdr:row>33</xdr:row>
      <xdr:rowOff>139700</xdr:rowOff>
    </xdr:from>
    <xdr:to>
      <xdr:col>0</xdr:col>
      <xdr:colOff>2095500</xdr:colOff>
      <xdr:row>38</xdr:row>
      <xdr:rowOff>1</xdr:rowOff>
    </xdr:to>
    <xdr:pic>
      <xdr:nvPicPr>
        <xdr:cNvPr id="2577839"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709400"/>
          <a:ext cx="20955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2260600</xdr:colOff>
      <xdr:row>34</xdr:row>
      <xdr:rowOff>25400</xdr:rowOff>
    </xdr:from>
    <xdr:to>
      <xdr:col>0</xdr:col>
      <xdr:colOff>4546600</xdr:colOff>
      <xdr:row>38</xdr:row>
      <xdr:rowOff>50802</xdr:rowOff>
    </xdr:to>
    <xdr:pic>
      <xdr:nvPicPr>
        <xdr:cNvPr id="2577840" name="Imag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60600" y="11772900"/>
          <a:ext cx="22860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6502400</xdr:colOff>
      <xdr:row>34</xdr:row>
      <xdr:rowOff>38100</xdr:rowOff>
    </xdr:from>
    <xdr:to>
      <xdr:col>0</xdr:col>
      <xdr:colOff>8026400</xdr:colOff>
      <xdr:row>38</xdr:row>
      <xdr:rowOff>114302</xdr:rowOff>
    </xdr:to>
    <xdr:pic>
      <xdr:nvPicPr>
        <xdr:cNvPr id="2577841" name="Picture 12" descr="Ecole agricole Groupe ESA"/>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6502400" y="11785600"/>
          <a:ext cx="15240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4622800</xdr:colOff>
      <xdr:row>33</xdr:row>
      <xdr:rowOff>165100</xdr:rowOff>
    </xdr:from>
    <xdr:to>
      <xdr:col>0</xdr:col>
      <xdr:colOff>6375400</xdr:colOff>
      <xdr:row>38</xdr:row>
      <xdr:rowOff>88901</xdr:rowOff>
    </xdr:to>
    <xdr:pic>
      <xdr:nvPicPr>
        <xdr:cNvPr id="2577842" name="Image 1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22800" y="11734800"/>
          <a:ext cx="175260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3009900</xdr:colOff>
      <xdr:row>38</xdr:row>
      <xdr:rowOff>88900</xdr:rowOff>
    </xdr:from>
    <xdr:to>
      <xdr:col>0</xdr:col>
      <xdr:colOff>4356100</xdr:colOff>
      <xdr:row>42</xdr:row>
      <xdr:rowOff>63498</xdr:rowOff>
    </xdr:to>
    <xdr:pic>
      <xdr:nvPicPr>
        <xdr:cNvPr id="2577843" name="Image 1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09900" y="12547600"/>
          <a:ext cx="13462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3124200</xdr:colOff>
      <xdr:row>42</xdr:row>
      <xdr:rowOff>114300</xdr:rowOff>
    </xdr:from>
    <xdr:to>
      <xdr:col>0</xdr:col>
      <xdr:colOff>4711700</xdr:colOff>
      <xdr:row>47</xdr:row>
      <xdr:rowOff>139702</xdr:rowOff>
    </xdr:to>
    <xdr:pic>
      <xdr:nvPicPr>
        <xdr:cNvPr id="2577844" name="Image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24200" y="13284200"/>
          <a:ext cx="15875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4813300</xdr:colOff>
      <xdr:row>39</xdr:row>
      <xdr:rowOff>63500</xdr:rowOff>
    </xdr:from>
    <xdr:to>
      <xdr:col>0</xdr:col>
      <xdr:colOff>6388100</xdr:colOff>
      <xdr:row>46</xdr:row>
      <xdr:rowOff>12701</xdr:rowOff>
    </xdr:to>
    <xdr:pic>
      <xdr:nvPicPr>
        <xdr:cNvPr id="2577845" name="Image 1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813300" y="12700000"/>
          <a:ext cx="1574800" cy="119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12700</xdr:colOff>
      <xdr:row>3</xdr:row>
      <xdr:rowOff>88900</xdr:rowOff>
    </xdr:from>
    <xdr:to>
      <xdr:col>8</xdr:col>
      <xdr:colOff>76200</xdr:colOff>
      <xdr:row>11</xdr:row>
      <xdr:rowOff>35111</xdr:rowOff>
    </xdr:to>
    <xdr:pic>
      <xdr:nvPicPr>
        <xdr:cNvPr id="2577846" name="Image 2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22965" y="1355165"/>
          <a:ext cx="4635500" cy="3946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25400</xdr:colOff>
      <xdr:row>13</xdr:row>
      <xdr:rowOff>50800</xdr:rowOff>
    </xdr:from>
    <xdr:to>
      <xdr:col>8</xdr:col>
      <xdr:colOff>165100</xdr:colOff>
      <xdr:row>15</xdr:row>
      <xdr:rowOff>145678</xdr:rowOff>
    </xdr:to>
    <xdr:pic>
      <xdr:nvPicPr>
        <xdr:cNvPr id="2577847" name="Picture 2" descr="W:\5.THEMATIQUES\PRODUCTIONS VEGETALES\AC_CASDAR_ALLIANCE\29_11_2015\SAM_2071.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925300" y="5194300"/>
          <a:ext cx="5397500" cy="334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38</xdr:row>
      <xdr:rowOff>139700</xdr:rowOff>
    </xdr:from>
    <xdr:to>
      <xdr:col>0</xdr:col>
      <xdr:colOff>3708400</xdr:colOff>
      <xdr:row>47</xdr:row>
      <xdr:rowOff>165100</xdr:rowOff>
    </xdr:to>
    <xdr:grpSp>
      <xdr:nvGrpSpPr>
        <xdr:cNvPr id="2577848" name="Grouper 2"/>
        <xdr:cNvGrpSpPr>
          <a:grpSpLocks/>
        </xdr:cNvGrpSpPr>
      </xdr:nvGrpSpPr>
      <xdr:grpSpPr bwMode="auto">
        <a:xfrm>
          <a:off x="0" y="14229229"/>
          <a:ext cx="3708400" cy="1639047"/>
          <a:chOff x="1219200" y="9478011"/>
          <a:chExt cx="3708400" cy="1727200"/>
        </a:xfrm>
      </xdr:grpSpPr>
      <xdr:sp macro="" textlink="">
        <xdr:nvSpPr>
          <xdr:cNvPr id="15" name="ZoneTexte 9"/>
          <xdr:cNvSpPr txBox="1"/>
        </xdr:nvSpPr>
        <xdr:spPr>
          <a:xfrm>
            <a:off x="2946400" y="9491505"/>
            <a:ext cx="1981200" cy="1133475"/>
          </a:xfrm>
          <a:prstGeom prst="rect">
            <a:avLst/>
          </a:prstGeom>
          <a:noFill/>
        </xdr:spPr>
        <xdr:txBody>
          <a:bodyPr wrap="square" rtlCol="0">
            <a:noAutofit/>
          </a:bodyPr>
          <a:lstStyle>
            <a:defPPr>
              <a:defRPr lang="fr-FR"/>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800"/>
              </a:lnSpc>
            </a:pPr>
            <a:r>
              <a:rPr lang="fr-FR" sz="700"/>
              <a:t>Chambres d'agriculture ; </a:t>
            </a:r>
          </a:p>
          <a:p>
            <a:pPr>
              <a:lnSpc>
                <a:spcPts val="800"/>
              </a:lnSpc>
            </a:pPr>
            <a:r>
              <a:rPr lang="fr-FR" sz="700"/>
              <a:t>Aisne, </a:t>
            </a:r>
          </a:p>
          <a:p>
            <a:pPr>
              <a:lnSpc>
                <a:spcPts val="800"/>
              </a:lnSpc>
            </a:pPr>
            <a:r>
              <a:rPr lang="fr-FR" sz="700"/>
              <a:t>Oise, </a:t>
            </a:r>
          </a:p>
          <a:p>
            <a:pPr>
              <a:lnSpc>
                <a:spcPts val="800"/>
              </a:lnSpc>
            </a:pPr>
            <a:r>
              <a:rPr lang="fr-FR" sz="700"/>
              <a:t>Somme, </a:t>
            </a:r>
          </a:p>
          <a:p>
            <a:pPr>
              <a:lnSpc>
                <a:spcPts val="800"/>
              </a:lnSpc>
            </a:pPr>
            <a:r>
              <a:rPr lang="fr-FR" sz="700"/>
              <a:t>Haute-Normandie, </a:t>
            </a:r>
          </a:p>
          <a:p>
            <a:pPr>
              <a:lnSpc>
                <a:spcPts val="800"/>
              </a:lnSpc>
            </a:pPr>
            <a:r>
              <a:rPr lang="fr-FR" sz="700"/>
              <a:t>Eure, </a:t>
            </a:r>
          </a:p>
          <a:p>
            <a:pPr>
              <a:lnSpc>
                <a:spcPts val="800"/>
              </a:lnSpc>
            </a:pPr>
            <a:r>
              <a:rPr lang="fr-FR" sz="700"/>
              <a:t>Seine et Marne, </a:t>
            </a:r>
          </a:p>
          <a:p>
            <a:pPr>
              <a:lnSpc>
                <a:spcPts val="800"/>
              </a:lnSpc>
            </a:pPr>
            <a:r>
              <a:rPr lang="fr-FR" sz="700"/>
              <a:t>Maine et Loire, </a:t>
            </a:r>
          </a:p>
          <a:p>
            <a:pPr>
              <a:lnSpc>
                <a:spcPts val="800"/>
              </a:lnSpc>
            </a:pPr>
            <a:r>
              <a:rPr lang="fr-FR" sz="700"/>
              <a:t>Charente Maritime, </a:t>
            </a:r>
          </a:p>
          <a:p>
            <a:pPr>
              <a:lnSpc>
                <a:spcPts val="800"/>
              </a:lnSpc>
            </a:pPr>
            <a:r>
              <a:rPr lang="fr-FR" sz="700"/>
              <a:t>Charente, </a:t>
            </a:r>
          </a:p>
          <a:p>
            <a:pPr>
              <a:lnSpc>
                <a:spcPts val="800"/>
              </a:lnSpc>
            </a:pPr>
            <a:r>
              <a:rPr lang="fr-FR" sz="700"/>
              <a:t>Deux sèvres, </a:t>
            </a:r>
          </a:p>
          <a:p>
            <a:pPr>
              <a:lnSpc>
                <a:spcPts val="800"/>
              </a:lnSpc>
            </a:pPr>
            <a:r>
              <a:rPr lang="fr-FR" sz="700"/>
              <a:t>Nouvelle-Aquitaine</a:t>
            </a:r>
          </a:p>
        </xdr:txBody>
      </xdr:sp>
      <xdr:pic>
        <xdr:nvPicPr>
          <xdr:cNvPr id="2577859" name="Image 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19200" y="9478011"/>
            <a:ext cx="1727200" cy="172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63500</xdr:colOff>
      <xdr:row>49</xdr:row>
      <xdr:rowOff>12700</xdr:rowOff>
    </xdr:from>
    <xdr:to>
      <xdr:col>0</xdr:col>
      <xdr:colOff>1816100</xdr:colOff>
      <xdr:row>52</xdr:row>
      <xdr:rowOff>127000</xdr:rowOff>
    </xdr:to>
    <xdr:pic>
      <xdr:nvPicPr>
        <xdr:cNvPr id="2577849" name="Image 10"/>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3500" y="14427200"/>
          <a:ext cx="17526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1930400</xdr:colOff>
      <xdr:row>48</xdr:row>
      <xdr:rowOff>165100</xdr:rowOff>
    </xdr:from>
    <xdr:to>
      <xdr:col>0</xdr:col>
      <xdr:colOff>3390900</xdr:colOff>
      <xdr:row>52</xdr:row>
      <xdr:rowOff>101600</xdr:rowOff>
    </xdr:to>
    <xdr:pic>
      <xdr:nvPicPr>
        <xdr:cNvPr id="2577850" name="Image 1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930400" y="14401800"/>
          <a:ext cx="1460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3530600</xdr:colOff>
      <xdr:row>48</xdr:row>
      <xdr:rowOff>101600</xdr:rowOff>
    </xdr:from>
    <xdr:to>
      <xdr:col>0</xdr:col>
      <xdr:colOff>5283200</xdr:colOff>
      <xdr:row>51</xdr:row>
      <xdr:rowOff>139700</xdr:rowOff>
    </xdr:to>
    <xdr:pic>
      <xdr:nvPicPr>
        <xdr:cNvPr id="2577851" name="Image 1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530600" y="14338300"/>
          <a:ext cx="17526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8108576</xdr:colOff>
      <xdr:row>34</xdr:row>
      <xdr:rowOff>25400</xdr:rowOff>
    </xdr:from>
    <xdr:to>
      <xdr:col>0</xdr:col>
      <xdr:colOff>9604001</xdr:colOff>
      <xdr:row>49</xdr:row>
      <xdr:rowOff>38101</xdr:rowOff>
    </xdr:to>
    <xdr:pic>
      <xdr:nvPicPr>
        <xdr:cNvPr id="2577852" name="Image 3"/>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108576" y="14839576"/>
          <a:ext cx="1495425" cy="2881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881444</xdr:colOff>
      <xdr:row>16</xdr:row>
      <xdr:rowOff>177188</xdr:rowOff>
    </xdr:from>
    <xdr:to>
      <xdr:col>8</xdr:col>
      <xdr:colOff>82502</xdr:colOff>
      <xdr:row>18</xdr:row>
      <xdr:rowOff>76026</xdr:rowOff>
    </xdr:to>
    <xdr:sp macro="" textlink="">
      <xdr:nvSpPr>
        <xdr:cNvPr id="2" name="ZoneTexte 1"/>
        <xdr:cNvSpPr txBox="1"/>
      </xdr:nvSpPr>
      <xdr:spPr>
        <a:xfrm>
          <a:off x="11908032" y="10128012"/>
          <a:ext cx="5371764" cy="436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Colza associé à de la féverole de printemps</a:t>
          </a:r>
          <a:r>
            <a:rPr lang="fr-FR" sz="1100" baseline="0"/>
            <a:t> dans les Deux-Sèvres (novembre 2015, CA79)</a:t>
          </a:r>
          <a:endParaRPr lang="fr-FR" sz="1100"/>
        </a:p>
      </xdr:txBody>
    </xdr:sp>
    <xdr:clientData/>
  </xdr:twoCellAnchor>
  <xdr:twoCellAnchor>
    <xdr:from>
      <xdr:col>1</xdr:col>
      <xdr:colOff>848524</xdr:colOff>
      <xdr:row>11</xdr:row>
      <xdr:rowOff>416707</xdr:rowOff>
    </xdr:from>
    <xdr:to>
      <xdr:col>8</xdr:col>
      <xdr:colOff>115363</xdr:colOff>
      <xdr:row>11</xdr:row>
      <xdr:rowOff>1066755</xdr:rowOff>
    </xdr:to>
    <xdr:sp macro="" textlink="">
      <xdr:nvSpPr>
        <xdr:cNvPr id="22" name="ZoneTexte 21"/>
        <xdr:cNvSpPr txBox="1"/>
      </xdr:nvSpPr>
      <xdr:spPr>
        <a:xfrm>
          <a:off x="11875112" y="4540472"/>
          <a:ext cx="5437545" cy="6500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Colza associé à de la féverole de printemps, de la vesce pourpre et du trèfle d'Alexandrie</a:t>
          </a:r>
          <a:r>
            <a:rPr lang="fr-FR" sz="1100" baseline="0"/>
            <a:t> dans le Maine-et-Loire (novembre 2015, CA49)</a:t>
          </a:r>
          <a:endParaRPr lang="fr-FR" sz="1100"/>
        </a:p>
      </xdr:txBody>
    </xdr:sp>
    <xdr:clientData/>
  </xdr:twoCellAnchor>
  <xdr:twoCellAnchor>
    <xdr:from>
      <xdr:col>0</xdr:col>
      <xdr:colOff>8149772</xdr:colOff>
      <xdr:row>32</xdr:row>
      <xdr:rowOff>36285</xdr:rowOff>
    </xdr:from>
    <xdr:to>
      <xdr:col>0</xdr:col>
      <xdr:colOff>10183993</xdr:colOff>
      <xdr:row>33</xdr:row>
      <xdr:rowOff>138309</xdr:rowOff>
    </xdr:to>
    <xdr:sp macro="" textlink="">
      <xdr:nvSpPr>
        <xdr:cNvPr id="23" name="ZoneTexte 22"/>
        <xdr:cNvSpPr txBox="1"/>
      </xdr:nvSpPr>
      <xdr:spPr>
        <a:xfrm>
          <a:off x="7127422" y="12364356"/>
          <a:ext cx="1802925" cy="3115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Financement : CASDAR (n°5376)</a:t>
          </a:r>
        </a:p>
        <a:p>
          <a:endParaRPr lang="fr-FR" sz="1100"/>
        </a:p>
      </xdr:txBody>
    </xdr:sp>
    <xdr:clientData/>
  </xdr:twoCellAnchor>
  <xdr:twoCellAnchor>
    <xdr:from>
      <xdr:col>0</xdr:col>
      <xdr:colOff>10331450</xdr:colOff>
      <xdr:row>21</xdr:row>
      <xdr:rowOff>167822</xdr:rowOff>
    </xdr:from>
    <xdr:to>
      <xdr:col>8</xdr:col>
      <xdr:colOff>168550</xdr:colOff>
      <xdr:row>30</xdr:row>
      <xdr:rowOff>33466</xdr:rowOff>
    </xdr:to>
    <xdr:sp macro="" textlink="">
      <xdr:nvSpPr>
        <xdr:cNvPr id="3" name="ZoneTexte 2"/>
        <xdr:cNvSpPr txBox="1"/>
      </xdr:nvSpPr>
      <xdr:spPr>
        <a:xfrm>
          <a:off x="9042400" y="10393136"/>
          <a:ext cx="5731329" cy="158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lang="fr-FR" sz="1100" b="1"/>
            <a:t>Protection : </a:t>
          </a:r>
        </a:p>
        <a:p>
          <a:pPr>
            <a:lnSpc>
              <a:spcPts val="1300"/>
            </a:lnSpc>
          </a:pPr>
          <a:r>
            <a:rPr lang="fr-FR" sz="1100"/>
            <a:t>Ce fichier est protégé par une licence Creative Commons. L'apposition de cette licence oblige les détenteurs du fichier à : </a:t>
          </a:r>
        </a:p>
        <a:p>
          <a:pPr>
            <a:lnSpc>
              <a:spcPts val="1300"/>
            </a:lnSpc>
          </a:pPr>
          <a:r>
            <a:rPr lang="fr-FR" sz="1100"/>
            <a:t>* Citer la</a:t>
          </a:r>
          <a:r>
            <a:rPr lang="fr-FR" sz="1100" baseline="0"/>
            <a:t> référence suivante lors de l'utilisation de l'outil en collectif ou de présentation de ses résultats : "Outil de choix d'espèces à associer au colza - INRA de Grignon - Projet ALLIANCE 2017".</a:t>
          </a:r>
        </a:p>
        <a:p>
          <a:r>
            <a:rPr lang="fr-FR" sz="1100" baseline="0"/>
            <a:t>* Sans autorisation préalable, l'utilisation de cet outil dans un but commercial n'est pas autorisé.</a:t>
          </a:r>
        </a:p>
        <a:p>
          <a:pPr>
            <a:lnSpc>
              <a:spcPts val="1300"/>
            </a:lnSpc>
          </a:pPr>
          <a:r>
            <a:rPr lang="fr-FR" sz="1100" baseline="0"/>
            <a:t>* La reproduction et la diffusion de ce fichier est autorisée uniquement dans sa version originale, sans modification. Une autorisation préalable doit être demandée dans le cas contraire.</a:t>
          </a:r>
          <a:endParaRPr lang="fr-FR" sz="1100"/>
        </a:p>
      </xdr:txBody>
    </xdr:sp>
    <xdr:clientData/>
  </xdr:twoCellAnchor>
  <xdr:twoCellAnchor editAs="oneCell">
    <xdr:from>
      <xdr:col>0</xdr:col>
      <xdr:colOff>6438900</xdr:colOff>
      <xdr:row>38</xdr:row>
      <xdr:rowOff>165100</xdr:rowOff>
    </xdr:from>
    <xdr:to>
      <xdr:col>0</xdr:col>
      <xdr:colOff>7988300</xdr:colOff>
      <xdr:row>46</xdr:row>
      <xdr:rowOff>50800</xdr:rowOff>
    </xdr:to>
    <xdr:pic>
      <xdr:nvPicPr>
        <xdr:cNvPr id="2577857" name="Image 27"/>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l="12494" t="12025" r="11696" b="13541"/>
        <a:stretch>
          <a:fillRect/>
        </a:stretch>
      </xdr:blipFill>
      <xdr:spPr bwMode="auto">
        <a:xfrm>
          <a:off x="6438900" y="12623800"/>
          <a:ext cx="1549400" cy="130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63500</xdr:rowOff>
    </xdr:from>
    <xdr:to>
      <xdr:col>0</xdr:col>
      <xdr:colOff>1613647</xdr:colOff>
      <xdr:row>1</xdr:row>
      <xdr:rowOff>336176</xdr:rowOff>
    </xdr:to>
    <xdr:grpSp>
      <xdr:nvGrpSpPr>
        <xdr:cNvPr id="2502325" name="Groupe 2"/>
        <xdr:cNvGrpSpPr>
          <a:grpSpLocks/>
        </xdr:cNvGrpSpPr>
      </xdr:nvGrpSpPr>
      <xdr:grpSpPr bwMode="auto">
        <a:xfrm>
          <a:off x="0" y="63500"/>
          <a:ext cx="1613647" cy="885264"/>
          <a:chOff x="47625" y="47525"/>
          <a:chExt cx="1514298" cy="911554"/>
        </a:xfrm>
      </xdr:grpSpPr>
      <xdr:pic>
        <xdr:nvPicPr>
          <xdr:cNvPr id="2502330" name="Imag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r="10555"/>
          <a:stretch>
            <a:fillRect/>
          </a:stretch>
        </xdr:blipFill>
        <xdr:spPr bwMode="auto">
          <a:xfrm>
            <a:off x="47625" y="57148"/>
            <a:ext cx="542748"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02331" name="Imag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r="10555"/>
          <a:stretch>
            <a:fillRect/>
          </a:stretch>
        </xdr:blipFill>
        <xdr:spPr bwMode="auto">
          <a:xfrm flipH="1">
            <a:off x="1019175" y="47525"/>
            <a:ext cx="542748"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02332" name="Image 11"/>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2425" y="123825"/>
            <a:ext cx="865164" cy="835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1725706</xdr:colOff>
      <xdr:row>0</xdr:row>
      <xdr:rowOff>63500</xdr:rowOff>
    </xdr:from>
    <xdr:to>
      <xdr:col>4</xdr:col>
      <xdr:colOff>0</xdr:colOff>
      <xdr:row>1</xdr:row>
      <xdr:rowOff>336176</xdr:rowOff>
    </xdr:to>
    <xdr:grpSp>
      <xdr:nvGrpSpPr>
        <xdr:cNvPr id="2502326" name="Groupe 13"/>
        <xdr:cNvGrpSpPr>
          <a:grpSpLocks/>
        </xdr:cNvGrpSpPr>
      </xdr:nvGrpSpPr>
      <xdr:grpSpPr bwMode="auto">
        <a:xfrm>
          <a:off x="10869706" y="63500"/>
          <a:ext cx="1740647" cy="885264"/>
          <a:chOff x="47625" y="57148"/>
          <a:chExt cx="1514298" cy="901931"/>
        </a:xfrm>
      </xdr:grpSpPr>
      <xdr:pic>
        <xdr:nvPicPr>
          <xdr:cNvPr id="2502327" name="Image 1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r="10555"/>
          <a:stretch>
            <a:fillRect/>
          </a:stretch>
        </xdr:blipFill>
        <xdr:spPr bwMode="auto">
          <a:xfrm>
            <a:off x="47625" y="57148"/>
            <a:ext cx="542748"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02328" name="Image 1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r="10555"/>
          <a:stretch>
            <a:fillRect/>
          </a:stretch>
        </xdr:blipFill>
        <xdr:spPr bwMode="auto">
          <a:xfrm flipH="1">
            <a:off x="1019175" y="57148"/>
            <a:ext cx="542748"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02329" name="Image 16"/>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2425" y="123825"/>
            <a:ext cx="865164" cy="835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1095935</xdr:colOff>
      <xdr:row>145</xdr:row>
      <xdr:rowOff>80682</xdr:rowOff>
    </xdr:from>
    <xdr:to>
      <xdr:col>7</xdr:col>
      <xdr:colOff>592419</xdr:colOff>
      <xdr:row>147</xdr:row>
      <xdr:rowOff>55283</xdr:rowOff>
    </xdr:to>
    <xdr:pic>
      <xdr:nvPicPr>
        <xdr:cNvPr id="2" name="Image 1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07170" y="13270006"/>
          <a:ext cx="592418"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726887</xdr:colOff>
      <xdr:row>149</xdr:row>
      <xdr:rowOff>114300</xdr:rowOff>
    </xdr:from>
    <xdr:to>
      <xdr:col>7</xdr:col>
      <xdr:colOff>818030</xdr:colOff>
      <xdr:row>151</xdr:row>
      <xdr:rowOff>127000</xdr:rowOff>
    </xdr:to>
    <xdr:grpSp>
      <xdr:nvGrpSpPr>
        <xdr:cNvPr id="4" name="Groupe 3"/>
        <xdr:cNvGrpSpPr/>
      </xdr:nvGrpSpPr>
      <xdr:grpSpPr>
        <a:xfrm>
          <a:off x="10578458" y="28399014"/>
          <a:ext cx="1252286" cy="411843"/>
          <a:chOff x="9355416" y="14211300"/>
          <a:chExt cx="1110879" cy="393700"/>
        </a:xfrm>
      </xdr:grpSpPr>
      <xdr:pic>
        <xdr:nvPicPr>
          <xdr:cNvPr id="6"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1595" y="14236700"/>
            <a:ext cx="3547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42419" y="14225494"/>
            <a:ext cx="369177"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5416" y="14211300"/>
            <a:ext cx="380364"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290285</xdr:colOff>
      <xdr:row>142</xdr:row>
      <xdr:rowOff>18142</xdr:rowOff>
    </xdr:from>
    <xdr:to>
      <xdr:col>4</xdr:col>
      <xdr:colOff>663497</xdr:colOff>
      <xdr:row>157</xdr:row>
      <xdr:rowOff>192567</xdr:rowOff>
    </xdr:to>
    <xdr:pic>
      <xdr:nvPicPr>
        <xdr:cNvPr id="9" name="Image 19"/>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7285" y="12191999"/>
          <a:ext cx="2690159" cy="3167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292100</xdr:colOff>
      <xdr:row>340</xdr:row>
      <xdr:rowOff>152400</xdr:rowOff>
    </xdr:from>
    <xdr:to>
      <xdr:col>4</xdr:col>
      <xdr:colOff>847167</xdr:colOff>
      <xdr:row>355</xdr:row>
      <xdr:rowOff>1</xdr:rowOff>
    </xdr:to>
    <xdr:pic>
      <xdr:nvPicPr>
        <xdr:cNvPr id="10" name="Image 2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99100" y="15379700"/>
          <a:ext cx="2882900" cy="270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103841</xdr:colOff>
      <xdr:row>343</xdr:row>
      <xdr:rowOff>111312</xdr:rowOff>
    </xdr:from>
    <xdr:to>
      <xdr:col>7</xdr:col>
      <xdr:colOff>670859</xdr:colOff>
      <xdr:row>345</xdr:row>
      <xdr:rowOff>73212</xdr:rowOff>
    </xdr:to>
    <xdr:pic>
      <xdr:nvPicPr>
        <xdr:cNvPr id="11" name="Image 2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752106" y="20461194"/>
          <a:ext cx="56701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368300</xdr:colOff>
      <xdr:row>287</xdr:row>
      <xdr:rowOff>177800</xdr:rowOff>
    </xdr:from>
    <xdr:to>
      <xdr:col>4</xdr:col>
      <xdr:colOff>796367</xdr:colOff>
      <xdr:row>299</xdr:row>
      <xdr:rowOff>177801</xdr:rowOff>
    </xdr:to>
    <xdr:pic>
      <xdr:nvPicPr>
        <xdr:cNvPr id="17" name="Image 3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75300" y="19100800"/>
          <a:ext cx="27559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1013012</xdr:colOff>
      <xdr:row>289</xdr:row>
      <xdr:rowOff>64994</xdr:rowOff>
    </xdr:from>
    <xdr:to>
      <xdr:col>7</xdr:col>
      <xdr:colOff>598396</xdr:colOff>
      <xdr:row>291</xdr:row>
      <xdr:rowOff>39593</xdr:rowOff>
    </xdr:to>
    <xdr:pic>
      <xdr:nvPicPr>
        <xdr:cNvPr id="20" name="Image 4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41541" y="16907435"/>
          <a:ext cx="605118" cy="35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799832</xdr:colOff>
      <xdr:row>147</xdr:row>
      <xdr:rowOff>101600</xdr:rowOff>
    </xdr:from>
    <xdr:to>
      <xdr:col>8</xdr:col>
      <xdr:colOff>8643</xdr:colOff>
      <xdr:row>149</xdr:row>
      <xdr:rowOff>137458</xdr:rowOff>
    </xdr:to>
    <xdr:grpSp>
      <xdr:nvGrpSpPr>
        <xdr:cNvPr id="14" name="Groupe 13"/>
        <xdr:cNvGrpSpPr/>
      </xdr:nvGrpSpPr>
      <xdr:grpSpPr>
        <a:xfrm>
          <a:off x="10651403" y="27987171"/>
          <a:ext cx="1531097" cy="435001"/>
          <a:chOff x="9467583" y="22607814"/>
          <a:chExt cx="1249882" cy="416858"/>
        </a:xfrm>
      </xdr:grpSpPr>
      <xdr:pic>
        <xdr:nvPicPr>
          <xdr:cNvPr id="5"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467583" y="22607814"/>
            <a:ext cx="42496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895894" y="22625743"/>
            <a:ext cx="424166"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293299" y="22643673"/>
            <a:ext cx="424166"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xdr:col>
      <xdr:colOff>897245</xdr:colOff>
      <xdr:row>345</xdr:row>
      <xdr:rowOff>121931</xdr:rowOff>
    </xdr:from>
    <xdr:to>
      <xdr:col>7</xdr:col>
      <xdr:colOff>1009490</xdr:colOff>
      <xdr:row>347</xdr:row>
      <xdr:rowOff>157789</xdr:rowOff>
    </xdr:to>
    <xdr:grpSp>
      <xdr:nvGrpSpPr>
        <xdr:cNvPr id="27" name="Groupe 26"/>
        <xdr:cNvGrpSpPr/>
      </xdr:nvGrpSpPr>
      <xdr:grpSpPr>
        <a:xfrm>
          <a:off x="10748816" y="67921788"/>
          <a:ext cx="1273388" cy="435001"/>
          <a:chOff x="9970247" y="13671924"/>
          <a:chExt cx="1394759" cy="416858"/>
        </a:xfrm>
      </xdr:grpSpPr>
      <xdr:pic>
        <xdr:nvPicPr>
          <xdr:cNvPr id="28"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70247" y="13671924"/>
            <a:ext cx="47363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9" name="Image 2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47618" y="13689853"/>
            <a:ext cx="47363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1371" y="13707783"/>
            <a:ext cx="47363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xdr:col>
      <xdr:colOff>933824</xdr:colOff>
      <xdr:row>291</xdr:row>
      <xdr:rowOff>97118</xdr:rowOff>
    </xdr:from>
    <xdr:to>
      <xdr:col>7</xdr:col>
      <xdr:colOff>765766</xdr:colOff>
      <xdr:row>293</xdr:row>
      <xdr:rowOff>115046</xdr:rowOff>
    </xdr:to>
    <xdr:grpSp>
      <xdr:nvGrpSpPr>
        <xdr:cNvPr id="38" name="Groupe 37"/>
        <xdr:cNvGrpSpPr/>
      </xdr:nvGrpSpPr>
      <xdr:grpSpPr>
        <a:xfrm>
          <a:off x="10785395" y="57011261"/>
          <a:ext cx="993085" cy="417071"/>
          <a:chOff x="9574360" y="17813618"/>
          <a:chExt cx="852477" cy="398928"/>
        </a:xfrm>
      </xdr:grpSpPr>
      <xdr:pic>
        <xdr:nvPicPr>
          <xdr:cNvPr id="39"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74360" y="17813618"/>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0" name="Image 3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02273" y="17831547"/>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xdr:col>
      <xdr:colOff>963706</xdr:colOff>
      <xdr:row>293</xdr:row>
      <xdr:rowOff>156883</xdr:rowOff>
    </xdr:from>
    <xdr:to>
      <xdr:col>7</xdr:col>
      <xdr:colOff>700150</xdr:colOff>
      <xdr:row>295</xdr:row>
      <xdr:rowOff>158377</xdr:rowOff>
    </xdr:to>
    <xdr:grpSp>
      <xdr:nvGrpSpPr>
        <xdr:cNvPr id="13" name="Groupe 12"/>
        <xdr:cNvGrpSpPr/>
      </xdr:nvGrpSpPr>
      <xdr:grpSpPr>
        <a:xfrm>
          <a:off x="10815277" y="57470169"/>
          <a:ext cx="897587" cy="400637"/>
          <a:chOff x="9502588" y="17738912"/>
          <a:chExt cx="756180" cy="382494"/>
        </a:xfrm>
      </xdr:grpSpPr>
      <xdr:pic>
        <xdr:nvPicPr>
          <xdr:cNvPr id="41"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9591" y="17753106"/>
            <a:ext cx="369177"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2"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02588" y="17738912"/>
            <a:ext cx="380364"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xdr:col>
      <xdr:colOff>974913</xdr:colOff>
      <xdr:row>347</xdr:row>
      <xdr:rowOff>179294</xdr:rowOff>
    </xdr:from>
    <xdr:to>
      <xdr:col>7</xdr:col>
      <xdr:colOff>711357</xdr:colOff>
      <xdr:row>349</xdr:row>
      <xdr:rowOff>180788</xdr:rowOff>
    </xdr:to>
    <xdr:grpSp>
      <xdr:nvGrpSpPr>
        <xdr:cNvPr id="43" name="Groupe 42"/>
        <xdr:cNvGrpSpPr/>
      </xdr:nvGrpSpPr>
      <xdr:grpSpPr>
        <a:xfrm>
          <a:off x="10826484" y="68378294"/>
          <a:ext cx="897587" cy="400637"/>
          <a:chOff x="9502588" y="17738912"/>
          <a:chExt cx="756180" cy="382494"/>
        </a:xfrm>
      </xdr:grpSpPr>
      <xdr:pic>
        <xdr:nvPicPr>
          <xdr:cNvPr id="44"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9591" y="17753106"/>
            <a:ext cx="369177"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5"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02588" y="17738912"/>
            <a:ext cx="380364"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7</xdr:col>
      <xdr:colOff>163285</xdr:colOff>
      <xdr:row>127</xdr:row>
      <xdr:rowOff>122464</xdr:rowOff>
    </xdr:from>
    <xdr:to>
      <xdr:col>7</xdr:col>
      <xdr:colOff>769204</xdr:colOff>
      <xdr:row>129</xdr:row>
      <xdr:rowOff>69849</xdr:rowOff>
    </xdr:to>
    <xdr:pic>
      <xdr:nvPicPr>
        <xdr:cNvPr id="47" name="Image 4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24356" y="24520071"/>
          <a:ext cx="605919" cy="35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132</xdr:row>
      <xdr:rowOff>0</xdr:rowOff>
    </xdr:from>
    <xdr:to>
      <xdr:col>7</xdr:col>
      <xdr:colOff>756979</xdr:colOff>
      <xdr:row>133</xdr:row>
      <xdr:rowOff>178387</xdr:rowOff>
    </xdr:to>
    <xdr:grpSp>
      <xdr:nvGrpSpPr>
        <xdr:cNvPr id="57" name="Groupe 56"/>
        <xdr:cNvGrpSpPr/>
      </xdr:nvGrpSpPr>
      <xdr:grpSpPr>
        <a:xfrm>
          <a:off x="11012714" y="24855714"/>
          <a:ext cx="756979" cy="377959"/>
          <a:chOff x="9502588" y="17738912"/>
          <a:chExt cx="756180" cy="382494"/>
        </a:xfrm>
      </xdr:grpSpPr>
      <xdr:pic>
        <xdr:nvPicPr>
          <xdr:cNvPr id="58"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9591" y="17753106"/>
            <a:ext cx="369177"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9"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02588" y="17738912"/>
            <a:ext cx="380364"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7</xdr:col>
      <xdr:colOff>244928</xdr:colOff>
      <xdr:row>129</xdr:row>
      <xdr:rowOff>136072</xdr:rowOff>
    </xdr:from>
    <xdr:to>
      <xdr:col>7</xdr:col>
      <xdr:colOff>669492</xdr:colOff>
      <xdr:row>131</xdr:row>
      <xdr:rowOff>108856</xdr:rowOff>
    </xdr:to>
    <xdr:pic>
      <xdr:nvPicPr>
        <xdr:cNvPr id="60"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05999" y="24941893"/>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217714</xdr:colOff>
      <xdr:row>271</xdr:row>
      <xdr:rowOff>122464</xdr:rowOff>
    </xdr:from>
    <xdr:to>
      <xdr:col>7</xdr:col>
      <xdr:colOff>823633</xdr:colOff>
      <xdr:row>273</xdr:row>
      <xdr:rowOff>69849</xdr:rowOff>
    </xdr:to>
    <xdr:pic>
      <xdr:nvPicPr>
        <xdr:cNvPr id="61" name="Image 4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8785" y="28234821"/>
          <a:ext cx="605919" cy="35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285749</xdr:colOff>
      <xdr:row>273</xdr:row>
      <xdr:rowOff>149680</xdr:rowOff>
    </xdr:from>
    <xdr:to>
      <xdr:col>7</xdr:col>
      <xdr:colOff>710313</xdr:colOff>
      <xdr:row>275</xdr:row>
      <xdr:rowOff>122464</xdr:rowOff>
    </xdr:to>
    <xdr:pic>
      <xdr:nvPicPr>
        <xdr:cNvPr id="62"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46820" y="28670251"/>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149679</xdr:colOff>
      <xdr:row>275</xdr:row>
      <xdr:rowOff>190500</xdr:rowOff>
    </xdr:from>
    <xdr:to>
      <xdr:col>7</xdr:col>
      <xdr:colOff>906658</xdr:colOff>
      <xdr:row>277</xdr:row>
      <xdr:rowOff>164780</xdr:rowOff>
    </xdr:to>
    <xdr:grpSp>
      <xdr:nvGrpSpPr>
        <xdr:cNvPr id="63" name="Groupe 62"/>
        <xdr:cNvGrpSpPr/>
      </xdr:nvGrpSpPr>
      <xdr:grpSpPr>
        <a:xfrm>
          <a:off x="11162393" y="53875214"/>
          <a:ext cx="756979" cy="373423"/>
          <a:chOff x="9502588" y="17738912"/>
          <a:chExt cx="756180" cy="382494"/>
        </a:xfrm>
      </xdr:grpSpPr>
      <xdr:pic>
        <xdr:nvPicPr>
          <xdr:cNvPr id="64"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9591" y="17753106"/>
            <a:ext cx="369177"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5"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02588" y="17738912"/>
            <a:ext cx="380364"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7</xdr:col>
      <xdr:colOff>176893</xdr:colOff>
      <xdr:row>163</xdr:row>
      <xdr:rowOff>122464</xdr:rowOff>
    </xdr:from>
    <xdr:to>
      <xdr:col>7</xdr:col>
      <xdr:colOff>782812</xdr:colOff>
      <xdr:row>165</xdr:row>
      <xdr:rowOff>69849</xdr:rowOff>
    </xdr:to>
    <xdr:pic>
      <xdr:nvPicPr>
        <xdr:cNvPr id="66" name="Image 4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37964" y="31949571"/>
          <a:ext cx="605919" cy="35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285750</xdr:colOff>
      <xdr:row>165</xdr:row>
      <xdr:rowOff>190501</xdr:rowOff>
    </xdr:from>
    <xdr:to>
      <xdr:col>7</xdr:col>
      <xdr:colOff>710314</xdr:colOff>
      <xdr:row>167</xdr:row>
      <xdr:rowOff>163285</xdr:rowOff>
    </xdr:to>
    <xdr:pic>
      <xdr:nvPicPr>
        <xdr:cNvPr id="67"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46821" y="32425822"/>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122464</xdr:colOff>
      <xdr:row>167</xdr:row>
      <xdr:rowOff>149679</xdr:rowOff>
    </xdr:from>
    <xdr:to>
      <xdr:col>7</xdr:col>
      <xdr:colOff>879443</xdr:colOff>
      <xdr:row>169</xdr:row>
      <xdr:rowOff>123959</xdr:rowOff>
    </xdr:to>
    <xdr:grpSp>
      <xdr:nvGrpSpPr>
        <xdr:cNvPr id="68" name="Groupe 67"/>
        <xdr:cNvGrpSpPr/>
      </xdr:nvGrpSpPr>
      <xdr:grpSpPr>
        <a:xfrm>
          <a:off x="11135178" y="32062965"/>
          <a:ext cx="756979" cy="373423"/>
          <a:chOff x="9502588" y="17738912"/>
          <a:chExt cx="756180" cy="382494"/>
        </a:xfrm>
      </xdr:grpSpPr>
      <xdr:pic>
        <xdr:nvPicPr>
          <xdr:cNvPr id="69"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9591" y="17753106"/>
            <a:ext cx="369177"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0"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02588" y="17738912"/>
            <a:ext cx="380364"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40821</xdr:colOff>
      <xdr:row>161</xdr:row>
      <xdr:rowOff>95250</xdr:rowOff>
    </xdr:from>
    <xdr:to>
      <xdr:col>4</xdr:col>
      <xdr:colOff>979714</xdr:colOff>
      <xdr:row>174</xdr:row>
      <xdr:rowOff>23509</xdr:rowOff>
    </xdr:to>
    <xdr:pic>
      <xdr:nvPicPr>
        <xdr:cNvPr id="23" name="Image 22"/>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r="273" b="8088"/>
        <a:stretch/>
      </xdr:blipFill>
      <xdr:spPr>
        <a:xfrm>
          <a:off x="4599214" y="31514143"/>
          <a:ext cx="2979964" cy="2581652"/>
        </a:xfrm>
        <a:prstGeom prst="rect">
          <a:avLst/>
        </a:prstGeom>
      </xdr:spPr>
    </xdr:pic>
    <xdr:clientData/>
  </xdr:twoCellAnchor>
  <xdr:twoCellAnchor editAs="oneCell">
    <xdr:from>
      <xdr:col>2</xdr:col>
      <xdr:colOff>81643</xdr:colOff>
      <xdr:row>126</xdr:row>
      <xdr:rowOff>136071</xdr:rowOff>
    </xdr:from>
    <xdr:to>
      <xdr:col>4</xdr:col>
      <xdr:colOff>938893</xdr:colOff>
      <xdr:row>137</xdr:row>
      <xdr:rowOff>64633</xdr:rowOff>
    </xdr:to>
    <xdr:pic>
      <xdr:nvPicPr>
        <xdr:cNvPr id="26" name="Image 2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640036" y="24329571"/>
          <a:ext cx="2898321" cy="2173741"/>
        </a:xfrm>
        <a:prstGeom prst="rect">
          <a:avLst/>
        </a:prstGeom>
      </xdr:spPr>
    </xdr:pic>
    <xdr:clientData/>
  </xdr:twoCellAnchor>
  <xdr:twoCellAnchor editAs="oneCell">
    <xdr:from>
      <xdr:col>2</xdr:col>
      <xdr:colOff>54429</xdr:colOff>
      <xdr:row>270</xdr:row>
      <xdr:rowOff>40822</xdr:rowOff>
    </xdr:from>
    <xdr:to>
      <xdr:col>4</xdr:col>
      <xdr:colOff>1006929</xdr:colOff>
      <xdr:row>281</xdr:row>
      <xdr:rowOff>40821</xdr:rowOff>
    </xdr:to>
    <xdr:pic>
      <xdr:nvPicPr>
        <xdr:cNvPr id="71" name="Image 7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612822" y="27949072"/>
          <a:ext cx="2993571" cy="2245178"/>
        </a:xfrm>
        <a:prstGeom prst="rect">
          <a:avLst/>
        </a:prstGeom>
      </xdr:spPr>
    </xdr:pic>
    <xdr:clientData/>
  </xdr:twoCellAnchor>
  <xdr:twoCellAnchor editAs="oneCell">
    <xdr:from>
      <xdr:col>2</xdr:col>
      <xdr:colOff>68036</xdr:colOff>
      <xdr:row>108</xdr:row>
      <xdr:rowOff>149680</xdr:rowOff>
    </xdr:from>
    <xdr:to>
      <xdr:col>4</xdr:col>
      <xdr:colOff>993322</xdr:colOff>
      <xdr:row>119</xdr:row>
      <xdr:rowOff>129269</xdr:rowOff>
    </xdr:to>
    <xdr:pic>
      <xdr:nvPicPr>
        <xdr:cNvPr id="72" name="Image 7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626429" y="35487430"/>
          <a:ext cx="2966357" cy="2224768"/>
        </a:xfrm>
        <a:prstGeom prst="rect">
          <a:avLst/>
        </a:prstGeom>
      </xdr:spPr>
    </xdr:pic>
    <xdr:clientData/>
  </xdr:twoCellAnchor>
  <xdr:twoCellAnchor editAs="oneCell">
    <xdr:from>
      <xdr:col>7</xdr:col>
      <xdr:colOff>258535</xdr:colOff>
      <xdr:row>109</xdr:row>
      <xdr:rowOff>95250</xdr:rowOff>
    </xdr:from>
    <xdr:to>
      <xdr:col>7</xdr:col>
      <xdr:colOff>864454</xdr:colOff>
      <xdr:row>111</xdr:row>
      <xdr:rowOff>42635</xdr:rowOff>
    </xdr:to>
    <xdr:pic>
      <xdr:nvPicPr>
        <xdr:cNvPr id="73" name="Image 4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19606" y="35637107"/>
          <a:ext cx="605919" cy="35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884464</xdr:colOff>
      <xdr:row>111</xdr:row>
      <xdr:rowOff>108858</xdr:rowOff>
    </xdr:from>
    <xdr:to>
      <xdr:col>7</xdr:col>
      <xdr:colOff>996709</xdr:colOff>
      <xdr:row>113</xdr:row>
      <xdr:rowOff>117501</xdr:rowOff>
    </xdr:to>
    <xdr:grpSp>
      <xdr:nvGrpSpPr>
        <xdr:cNvPr id="74" name="Groupe 73"/>
        <xdr:cNvGrpSpPr/>
      </xdr:nvGrpSpPr>
      <xdr:grpSpPr>
        <a:xfrm>
          <a:off x="10736035" y="20737287"/>
          <a:ext cx="1273388" cy="407785"/>
          <a:chOff x="9970247" y="13671924"/>
          <a:chExt cx="1394759" cy="416858"/>
        </a:xfrm>
      </xdr:grpSpPr>
      <xdr:pic>
        <xdr:nvPicPr>
          <xdr:cNvPr id="75"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70247" y="13671924"/>
            <a:ext cx="47363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6" name="Image 7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47618" y="13689853"/>
            <a:ext cx="47363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1371" y="13707783"/>
            <a:ext cx="47363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xdr:col>
      <xdr:colOff>830035</xdr:colOff>
      <xdr:row>113</xdr:row>
      <xdr:rowOff>163286</xdr:rowOff>
    </xdr:from>
    <xdr:to>
      <xdr:col>7</xdr:col>
      <xdr:colOff>921178</xdr:colOff>
      <xdr:row>115</xdr:row>
      <xdr:rowOff>148772</xdr:rowOff>
    </xdr:to>
    <xdr:grpSp>
      <xdr:nvGrpSpPr>
        <xdr:cNvPr id="78" name="Groupe 77"/>
        <xdr:cNvGrpSpPr/>
      </xdr:nvGrpSpPr>
      <xdr:grpSpPr>
        <a:xfrm>
          <a:off x="10681606" y="21190857"/>
          <a:ext cx="1252286" cy="384629"/>
          <a:chOff x="9355416" y="14211300"/>
          <a:chExt cx="1110879" cy="393700"/>
        </a:xfrm>
      </xdr:grpSpPr>
      <xdr:pic>
        <xdr:nvPicPr>
          <xdr:cNvPr id="79"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1595" y="14236700"/>
            <a:ext cx="3547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0"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42419" y="14225494"/>
            <a:ext cx="369177"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1"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5416" y="14211300"/>
            <a:ext cx="380364"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68037</xdr:colOff>
      <xdr:row>180</xdr:row>
      <xdr:rowOff>68038</xdr:rowOff>
    </xdr:from>
    <xdr:to>
      <xdr:col>4</xdr:col>
      <xdr:colOff>966107</xdr:colOff>
      <xdr:row>191</xdr:row>
      <xdr:rowOff>27215</xdr:rowOff>
    </xdr:to>
    <xdr:pic>
      <xdr:nvPicPr>
        <xdr:cNvPr id="3" name="Image 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26430" y="39120538"/>
          <a:ext cx="2939141" cy="2204356"/>
        </a:xfrm>
        <a:prstGeom prst="rect">
          <a:avLst/>
        </a:prstGeom>
      </xdr:spPr>
    </xdr:pic>
    <xdr:clientData/>
  </xdr:twoCellAnchor>
  <xdr:twoCellAnchor editAs="oneCell">
    <xdr:from>
      <xdr:col>7</xdr:col>
      <xdr:colOff>176893</xdr:colOff>
      <xdr:row>181</xdr:row>
      <xdr:rowOff>95250</xdr:rowOff>
    </xdr:from>
    <xdr:to>
      <xdr:col>7</xdr:col>
      <xdr:colOff>782812</xdr:colOff>
      <xdr:row>183</xdr:row>
      <xdr:rowOff>42635</xdr:rowOff>
    </xdr:to>
    <xdr:pic>
      <xdr:nvPicPr>
        <xdr:cNvPr id="82" name="Image 4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37964" y="39351857"/>
          <a:ext cx="605919" cy="35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299357</xdr:colOff>
      <xdr:row>183</xdr:row>
      <xdr:rowOff>149680</xdr:rowOff>
    </xdr:from>
    <xdr:to>
      <xdr:col>7</xdr:col>
      <xdr:colOff>723921</xdr:colOff>
      <xdr:row>185</xdr:row>
      <xdr:rowOff>122464</xdr:rowOff>
    </xdr:to>
    <xdr:pic>
      <xdr:nvPicPr>
        <xdr:cNvPr id="83"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60428" y="39814501"/>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149679</xdr:colOff>
      <xdr:row>185</xdr:row>
      <xdr:rowOff>149678</xdr:rowOff>
    </xdr:from>
    <xdr:to>
      <xdr:col>7</xdr:col>
      <xdr:colOff>906658</xdr:colOff>
      <xdr:row>187</xdr:row>
      <xdr:rowOff>123958</xdr:rowOff>
    </xdr:to>
    <xdr:grpSp>
      <xdr:nvGrpSpPr>
        <xdr:cNvPr id="84" name="Groupe 83"/>
        <xdr:cNvGrpSpPr/>
      </xdr:nvGrpSpPr>
      <xdr:grpSpPr>
        <a:xfrm>
          <a:off x="11162393" y="35691535"/>
          <a:ext cx="756979" cy="373423"/>
          <a:chOff x="9502588" y="17738912"/>
          <a:chExt cx="756180" cy="382494"/>
        </a:xfrm>
      </xdr:grpSpPr>
      <xdr:pic>
        <xdr:nvPicPr>
          <xdr:cNvPr id="85"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9591" y="17753106"/>
            <a:ext cx="369177"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6"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02588" y="17738912"/>
            <a:ext cx="380364"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40821</xdr:colOff>
      <xdr:row>234</xdr:row>
      <xdr:rowOff>91847</xdr:rowOff>
    </xdr:from>
    <xdr:to>
      <xdr:col>4</xdr:col>
      <xdr:colOff>961573</xdr:colOff>
      <xdr:row>245</xdr:row>
      <xdr:rowOff>68035</xdr:rowOff>
    </xdr:to>
    <xdr:pic>
      <xdr:nvPicPr>
        <xdr:cNvPr id="12" name="Image 1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599214" y="42859097"/>
          <a:ext cx="2961823" cy="2221367"/>
        </a:xfrm>
        <a:prstGeom prst="rect">
          <a:avLst/>
        </a:prstGeom>
      </xdr:spPr>
    </xdr:pic>
    <xdr:clientData/>
  </xdr:twoCellAnchor>
  <xdr:twoCellAnchor editAs="oneCell">
    <xdr:from>
      <xdr:col>7</xdr:col>
      <xdr:colOff>149682</xdr:colOff>
      <xdr:row>235</xdr:row>
      <xdr:rowOff>54429</xdr:rowOff>
    </xdr:from>
    <xdr:to>
      <xdr:col>7</xdr:col>
      <xdr:colOff>756796</xdr:colOff>
      <xdr:row>237</xdr:row>
      <xdr:rowOff>1</xdr:rowOff>
    </xdr:to>
    <xdr:pic>
      <xdr:nvPicPr>
        <xdr:cNvPr id="18" name="Image 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810753" y="43025786"/>
          <a:ext cx="607114" cy="353786"/>
        </a:xfrm>
        <a:prstGeom prst="rect">
          <a:avLst/>
        </a:prstGeom>
      </xdr:spPr>
    </xdr:pic>
    <xdr:clientData/>
  </xdr:twoCellAnchor>
  <xdr:twoCellAnchor>
    <xdr:from>
      <xdr:col>6</xdr:col>
      <xdr:colOff>898070</xdr:colOff>
      <xdr:row>239</xdr:row>
      <xdr:rowOff>122464</xdr:rowOff>
    </xdr:from>
    <xdr:to>
      <xdr:col>7</xdr:col>
      <xdr:colOff>989213</xdr:colOff>
      <xdr:row>241</xdr:row>
      <xdr:rowOff>107950</xdr:rowOff>
    </xdr:to>
    <xdr:grpSp>
      <xdr:nvGrpSpPr>
        <xdr:cNvPr id="87" name="Groupe 86"/>
        <xdr:cNvGrpSpPr/>
      </xdr:nvGrpSpPr>
      <xdr:grpSpPr>
        <a:xfrm>
          <a:off x="10749641" y="46550035"/>
          <a:ext cx="1252286" cy="384629"/>
          <a:chOff x="9355416" y="14211300"/>
          <a:chExt cx="1110879" cy="393700"/>
        </a:xfrm>
      </xdr:grpSpPr>
      <xdr:pic>
        <xdr:nvPicPr>
          <xdr:cNvPr id="88"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1595" y="14236700"/>
            <a:ext cx="3547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9"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42419" y="14225494"/>
            <a:ext cx="369177"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0"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5416" y="14211300"/>
            <a:ext cx="380364"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xdr:col>
      <xdr:colOff>925285</xdr:colOff>
      <xdr:row>237</xdr:row>
      <xdr:rowOff>108858</xdr:rowOff>
    </xdr:from>
    <xdr:to>
      <xdr:col>8</xdr:col>
      <xdr:colOff>16994</xdr:colOff>
      <xdr:row>239</xdr:row>
      <xdr:rowOff>117501</xdr:rowOff>
    </xdr:to>
    <xdr:grpSp>
      <xdr:nvGrpSpPr>
        <xdr:cNvPr id="91" name="Groupe 90"/>
        <xdr:cNvGrpSpPr/>
      </xdr:nvGrpSpPr>
      <xdr:grpSpPr>
        <a:xfrm>
          <a:off x="10776856" y="46137287"/>
          <a:ext cx="1413995" cy="407785"/>
          <a:chOff x="9970247" y="13671924"/>
          <a:chExt cx="1394759" cy="416858"/>
        </a:xfrm>
      </xdr:grpSpPr>
      <xdr:pic>
        <xdr:nvPicPr>
          <xdr:cNvPr id="92"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70247" y="13671924"/>
            <a:ext cx="47363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3" name="Image 9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47618" y="13689853"/>
            <a:ext cx="47363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4"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1371" y="13707783"/>
            <a:ext cx="47363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149677</xdr:colOff>
      <xdr:row>71</xdr:row>
      <xdr:rowOff>54428</xdr:rowOff>
    </xdr:from>
    <xdr:to>
      <xdr:col>4</xdr:col>
      <xdr:colOff>979713</xdr:colOff>
      <xdr:row>85</xdr:row>
      <xdr:rowOff>68035</xdr:rowOff>
    </xdr:to>
    <xdr:pic>
      <xdr:nvPicPr>
        <xdr:cNvPr id="21" name="Image 2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708070" y="46332321"/>
          <a:ext cx="2871107" cy="2871107"/>
        </a:xfrm>
        <a:prstGeom prst="rect">
          <a:avLst/>
        </a:prstGeom>
      </xdr:spPr>
    </xdr:pic>
    <xdr:clientData/>
  </xdr:twoCellAnchor>
  <xdr:twoCellAnchor editAs="oneCell">
    <xdr:from>
      <xdr:col>7</xdr:col>
      <xdr:colOff>108857</xdr:colOff>
      <xdr:row>73</xdr:row>
      <xdr:rowOff>163285</xdr:rowOff>
    </xdr:from>
    <xdr:to>
      <xdr:col>7</xdr:col>
      <xdr:colOff>715971</xdr:colOff>
      <xdr:row>75</xdr:row>
      <xdr:rowOff>108857</xdr:rowOff>
    </xdr:to>
    <xdr:pic>
      <xdr:nvPicPr>
        <xdr:cNvPr id="95" name="Image 9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769928" y="46849392"/>
          <a:ext cx="607114" cy="353786"/>
        </a:xfrm>
        <a:prstGeom prst="rect">
          <a:avLst/>
        </a:prstGeom>
      </xdr:spPr>
    </xdr:pic>
    <xdr:clientData/>
  </xdr:twoCellAnchor>
  <xdr:twoCellAnchor>
    <xdr:from>
      <xdr:col>7</xdr:col>
      <xdr:colOff>244929</xdr:colOff>
      <xdr:row>75</xdr:row>
      <xdr:rowOff>136072</xdr:rowOff>
    </xdr:from>
    <xdr:to>
      <xdr:col>7</xdr:col>
      <xdr:colOff>669493</xdr:colOff>
      <xdr:row>77</xdr:row>
      <xdr:rowOff>108856</xdr:rowOff>
    </xdr:to>
    <xdr:pic>
      <xdr:nvPicPr>
        <xdr:cNvPr id="96"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06000" y="47230393"/>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870858</xdr:colOff>
      <xdr:row>77</xdr:row>
      <xdr:rowOff>108857</xdr:rowOff>
    </xdr:from>
    <xdr:to>
      <xdr:col>7</xdr:col>
      <xdr:colOff>962001</xdr:colOff>
      <xdr:row>79</xdr:row>
      <xdr:rowOff>94343</xdr:rowOff>
    </xdr:to>
    <xdr:grpSp>
      <xdr:nvGrpSpPr>
        <xdr:cNvPr id="97" name="Groupe 96"/>
        <xdr:cNvGrpSpPr/>
      </xdr:nvGrpSpPr>
      <xdr:grpSpPr>
        <a:xfrm>
          <a:off x="10722429" y="13879286"/>
          <a:ext cx="1252286" cy="384628"/>
          <a:chOff x="9355416" y="14211300"/>
          <a:chExt cx="1110879" cy="393700"/>
        </a:xfrm>
      </xdr:grpSpPr>
      <xdr:pic>
        <xdr:nvPicPr>
          <xdr:cNvPr id="98"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1595" y="14236700"/>
            <a:ext cx="3547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9"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42419" y="14225494"/>
            <a:ext cx="369177"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0"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5416" y="14211300"/>
            <a:ext cx="380364"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408216</xdr:colOff>
      <xdr:row>88</xdr:row>
      <xdr:rowOff>65824</xdr:rowOff>
    </xdr:from>
    <xdr:to>
      <xdr:col>4</xdr:col>
      <xdr:colOff>693965</xdr:colOff>
      <xdr:row>103</xdr:row>
      <xdr:rowOff>108859</xdr:rowOff>
    </xdr:to>
    <xdr:pic>
      <xdr:nvPicPr>
        <xdr:cNvPr id="22" name="Image 2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966609" y="49854360"/>
          <a:ext cx="2326820" cy="3104642"/>
        </a:xfrm>
        <a:prstGeom prst="rect">
          <a:avLst/>
        </a:prstGeom>
      </xdr:spPr>
    </xdr:pic>
    <xdr:clientData/>
  </xdr:twoCellAnchor>
  <xdr:twoCellAnchor editAs="oneCell">
    <xdr:from>
      <xdr:col>7</xdr:col>
      <xdr:colOff>149679</xdr:colOff>
      <xdr:row>91</xdr:row>
      <xdr:rowOff>95249</xdr:rowOff>
    </xdr:from>
    <xdr:to>
      <xdr:col>7</xdr:col>
      <xdr:colOff>755598</xdr:colOff>
      <xdr:row>93</xdr:row>
      <xdr:rowOff>42634</xdr:rowOff>
    </xdr:to>
    <xdr:pic>
      <xdr:nvPicPr>
        <xdr:cNvPr id="101" name="Image 4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10750" y="50496106"/>
          <a:ext cx="605919" cy="35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272144</xdr:colOff>
      <xdr:row>93</xdr:row>
      <xdr:rowOff>163286</xdr:rowOff>
    </xdr:from>
    <xdr:to>
      <xdr:col>7</xdr:col>
      <xdr:colOff>696708</xdr:colOff>
      <xdr:row>95</xdr:row>
      <xdr:rowOff>136070</xdr:rowOff>
    </xdr:to>
    <xdr:pic>
      <xdr:nvPicPr>
        <xdr:cNvPr id="102"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33215" y="50972357"/>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911679</xdr:colOff>
      <xdr:row>95</xdr:row>
      <xdr:rowOff>136071</xdr:rowOff>
    </xdr:from>
    <xdr:to>
      <xdr:col>7</xdr:col>
      <xdr:colOff>1002822</xdr:colOff>
      <xdr:row>97</xdr:row>
      <xdr:rowOff>121557</xdr:rowOff>
    </xdr:to>
    <xdr:grpSp>
      <xdr:nvGrpSpPr>
        <xdr:cNvPr id="35" name="Groupe 34"/>
        <xdr:cNvGrpSpPr/>
      </xdr:nvGrpSpPr>
      <xdr:grpSpPr>
        <a:xfrm>
          <a:off x="10763250" y="17535071"/>
          <a:ext cx="1252286" cy="384629"/>
          <a:chOff x="9552215" y="51353357"/>
          <a:chExt cx="1111678" cy="393700"/>
        </a:xfrm>
      </xdr:grpSpPr>
      <xdr:pic>
        <xdr:nvPicPr>
          <xdr:cNvPr id="104"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8938" y="51378757"/>
            <a:ext cx="35495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5"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9496" y="51367551"/>
            <a:ext cx="369443"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6"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52215" y="51353357"/>
            <a:ext cx="380638"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530678</xdr:colOff>
      <xdr:row>322</xdr:row>
      <xdr:rowOff>54428</xdr:rowOff>
    </xdr:from>
    <xdr:to>
      <xdr:col>4</xdr:col>
      <xdr:colOff>571391</xdr:colOff>
      <xdr:row>337</xdr:row>
      <xdr:rowOff>113974</xdr:rowOff>
    </xdr:to>
    <xdr:pic>
      <xdr:nvPicPr>
        <xdr:cNvPr id="34" name="Image 33"/>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089071" y="53557714"/>
          <a:ext cx="2081784" cy="3121152"/>
        </a:xfrm>
        <a:prstGeom prst="rect">
          <a:avLst/>
        </a:prstGeom>
      </xdr:spPr>
    </xdr:pic>
    <xdr:clientData/>
  </xdr:twoCellAnchor>
  <xdr:twoCellAnchor editAs="oneCell">
    <xdr:from>
      <xdr:col>7</xdr:col>
      <xdr:colOff>190500</xdr:colOff>
      <xdr:row>325</xdr:row>
      <xdr:rowOff>65002</xdr:rowOff>
    </xdr:from>
    <xdr:to>
      <xdr:col>7</xdr:col>
      <xdr:colOff>830036</xdr:colOff>
      <xdr:row>327</xdr:row>
      <xdr:rowOff>43542</xdr:rowOff>
    </xdr:to>
    <xdr:pic>
      <xdr:nvPicPr>
        <xdr:cNvPr id="107" name="Image 2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851571" y="54180609"/>
          <a:ext cx="639536" cy="386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326571</xdr:colOff>
      <xdr:row>327</xdr:row>
      <xdr:rowOff>136072</xdr:rowOff>
    </xdr:from>
    <xdr:to>
      <xdr:col>7</xdr:col>
      <xdr:colOff>751135</xdr:colOff>
      <xdr:row>329</xdr:row>
      <xdr:rowOff>108856</xdr:rowOff>
    </xdr:to>
    <xdr:pic>
      <xdr:nvPicPr>
        <xdr:cNvPr id="108"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87642" y="54659893"/>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367393</xdr:colOff>
      <xdr:row>329</xdr:row>
      <xdr:rowOff>176892</xdr:rowOff>
    </xdr:from>
    <xdr:to>
      <xdr:col>7</xdr:col>
      <xdr:colOff>736836</xdr:colOff>
      <xdr:row>331</xdr:row>
      <xdr:rowOff>136978</xdr:rowOff>
    </xdr:to>
    <xdr:pic>
      <xdr:nvPicPr>
        <xdr:cNvPr id="109"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28464" y="55108928"/>
          <a:ext cx="369443"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54428</xdr:colOff>
      <xdr:row>252</xdr:row>
      <xdr:rowOff>68036</xdr:rowOff>
    </xdr:from>
    <xdr:to>
      <xdr:col>4</xdr:col>
      <xdr:colOff>1006928</xdr:colOff>
      <xdr:row>263</xdr:row>
      <xdr:rowOff>68035</xdr:rowOff>
    </xdr:to>
    <xdr:pic>
      <xdr:nvPicPr>
        <xdr:cNvPr id="36" name="Image 35"/>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612821" y="57694286"/>
          <a:ext cx="2993571" cy="2245178"/>
        </a:xfrm>
        <a:prstGeom prst="rect">
          <a:avLst/>
        </a:prstGeom>
      </xdr:spPr>
    </xdr:pic>
    <xdr:clientData/>
  </xdr:twoCellAnchor>
  <xdr:twoCellAnchor editAs="oneCell">
    <xdr:from>
      <xdr:col>7</xdr:col>
      <xdr:colOff>136071</xdr:colOff>
      <xdr:row>253</xdr:row>
      <xdr:rowOff>81643</xdr:rowOff>
    </xdr:from>
    <xdr:to>
      <xdr:col>7</xdr:col>
      <xdr:colOff>775607</xdr:colOff>
      <xdr:row>255</xdr:row>
      <xdr:rowOff>60184</xdr:rowOff>
    </xdr:to>
    <xdr:pic>
      <xdr:nvPicPr>
        <xdr:cNvPr id="110" name="Image 2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797142" y="57912000"/>
          <a:ext cx="639536" cy="386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898071</xdr:colOff>
      <xdr:row>255</xdr:row>
      <xdr:rowOff>108859</xdr:rowOff>
    </xdr:from>
    <xdr:to>
      <xdr:col>7</xdr:col>
      <xdr:colOff>1010316</xdr:colOff>
      <xdr:row>257</xdr:row>
      <xdr:rowOff>117502</xdr:rowOff>
    </xdr:to>
    <xdr:grpSp>
      <xdr:nvGrpSpPr>
        <xdr:cNvPr id="111" name="Groupe 110"/>
        <xdr:cNvGrpSpPr/>
      </xdr:nvGrpSpPr>
      <xdr:grpSpPr>
        <a:xfrm>
          <a:off x="10749642" y="49765859"/>
          <a:ext cx="1273388" cy="407786"/>
          <a:chOff x="9970247" y="13671924"/>
          <a:chExt cx="1394759" cy="416858"/>
        </a:xfrm>
      </xdr:grpSpPr>
      <xdr:pic>
        <xdr:nvPicPr>
          <xdr:cNvPr id="112"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70247" y="13671924"/>
            <a:ext cx="47363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3" name="Image 11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47618" y="13689853"/>
            <a:ext cx="47363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4"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1371" y="13707783"/>
            <a:ext cx="47363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7</xdr:col>
      <xdr:colOff>204108</xdr:colOff>
      <xdr:row>257</xdr:row>
      <xdr:rowOff>149679</xdr:rowOff>
    </xdr:from>
    <xdr:to>
      <xdr:col>7</xdr:col>
      <xdr:colOff>573551</xdr:colOff>
      <xdr:row>259</xdr:row>
      <xdr:rowOff>109765</xdr:rowOff>
    </xdr:to>
    <xdr:pic>
      <xdr:nvPicPr>
        <xdr:cNvPr id="115"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65179" y="58796465"/>
          <a:ext cx="369443"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81643</xdr:colOff>
      <xdr:row>198</xdr:row>
      <xdr:rowOff>108857</xdr:rowOff>
    </xdr:from>
    <xdr:to>
      <xdr:col>4</xdr:col>
      <xdr:colOff>997857</xdr:colOff>
      <xdr:row>209</xdr:row>
      <xdr:rowOff>81642</xdr:rowOff>
    </xdr:to>
    <xdr:pic>
      <xdr:nvPicPr>
        <xdr:cNvPr id="37" name="Image 36"/>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640036" y="61449857"/>
          <a:ext cx="2957285" cy="2217964"/>
        </a:xfrm>
        <a:prstGeom prst="rect">
          <a:avLst/>
        </a:prstGeom>
      </xdr:spPr>
    </xdr:pic>
    <xdr:clientData/>
  </xdr:twoCellAnchor>
  <xdr:twoCellAnchor editAs="oneCell">
    <xdr:from>
      <xdr:col>7</xdr:col>
      <xdr:colOff>217714</xdr:colOff>
      <xdr:row>199</xdr:row>
      <xdr:rowOff>81643</xdr:rowOff>
    </xdr:from>
    <xdr:to>
      <xdr:col>7</xdr:col>
      <xdr:colOff>824828</xdr:colOff>
      <xdr:row>201</xdr:row>
      <xdr:rowOff>27215</xdr:rowOff>
    </xdr:to>
    <xdr:pic>
      <xdr:nvPicPr>
        <xdr:cNvPr id="116" name="Image 11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878785" y="61626750"/>
          <a:ext cx="607114" cy="353786"/>
        </a:xfrm>
        <a:prstGeom prst="rect">
          <a:avLst/>
        </a:prstGeom>
      </xdr:spPr>
    </xdr:pic>
    <xdr:clientData/>
  </xdr:twoCellAnchor>
  <xdr:twoCellAnchor>
    <xdr:from>
      <xdr:col>7</xdr:col>
      <xdr:colOff>326571</xdr:colOff>
      <xdr:row>203</xdr:row>
      <xdr:rowOff>163285</xdr:rowOff>
    </xdr:from>
    <xdr:to>
      <xdr:col>7</xdr:col>
      <xdr:colOff>696014</xdr:colOff>
      <xdr:row>205</xdr:row>
      <xdr:rowOff>123371</xdr:rowOff>
    </xdr:to>
    <xdr:pic>
      <xdr:nvPicPr>
        <xdr:cNvPr id="120"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7642" y="62524821"/>
          <a:ext cx="369443"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81643</xdr:colOff>
      <xdr:row>378</xdr:row>
      <xdr:rowOff>81643</xdr:rowOff>
    </xdr:from>
    <xdr:to>
      <xdr:col>4</xdr:col>
      <xdr:colOff>938893</xdr:colOff>
      <xdr:row>389</xdr:row>
      <xdr:rowOff>10206</xdr:rowOff>
    </xdr:to>
    <xdr:pic>
      <xdr:nvPicPr>
        <xdr:cNvPr id="46" name="Image 45"/>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640036" y="65137393"/>
          <a:ext cx="2898321" cy="2173741"/>
        </a:xfrm>
        <a:prstGeom prst="rect">
          <a:avLst/>
        </a:prstGeom>
      </xdr:spPr>
    </xdr:pic>
    <xdr:clientData/>
  </xdr:twoCellAnchor>
  <xdr:twoCellAnchor editAs="oneCell">
    <xdr:from>
      <xdr:col>7</xdr:col>
      <xdr:colOff>312964</xdr:colOff>
      <xdr:row>379</xdr:row>
      <xdr:rowOff>136071</xdr:rowOff>
    </xdr:from>
    <xdr:to>
      <xdr:col>7</xdr:col>
      <xdr:colOff>920078</xdr:colOff>
      <xdr:row>381</xdr:row>
      <xdr:rowOff>81643</xdr:rowOff>
    </xdr:to>
    <xdr:pic>
      <xdr:nvPicPr>
        <xdr:cNvPr id="121" name="Image 120"/>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974035" y="65395928"/>
          <a:ext cx="607114" cy="353786"/>
        </a:xfrm>
        <a:prstGeom prst="rect">
          <a:avLst/>
        </a:prstGeom>
      </xdr:spPr>
    </xdr:pic>
    <xdr:clientData/>
  </xdr:twoCellAnchor>
  <xdr:twoCellAnchor>
    <xdr:from>
      <xdr:col>7</xdr:col>
      <xdr:colOff>97970</xdr:colOff>
      <xdr:row>201</xdr:row>
      <xdr:rowOff>97972</xdr:rowOff>
    </xdr:from>
    <xdr:to>
      <xdr:col>7</xdr:col>
      <xdr:colOff>950447</xdr:colOff>
      <xdr:row>203</xdr:row>
      <xdr:rowOff>88685</xdr:rowOff>
    </xdr:to>
    <xdr:grpSp>
      <xdr:nvGrpSpPr>
        <xdr:cNvPr id="122" name="Groupe 121"/>
        <xdr:cNvGrpSpPr/>
      </xdr:nvGrpSpPr>
      <xdr:grpSpPr>
        <a:xfrm>
          <a:off x="11110684" y="38869258"/>
          <a:ext cx="852477" cy="389856"/>
          <a:chOff x="9574360" y="17813618"/>
          <a:chExt cx="852477" cy="398928"/>
        </a:xfrm>
      </xdr:grpSpPr>
      <xdr:pic>
        <xdr:nvPicPr>
          <xdr:cNvPr id="123"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74360" y="17813618"/>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4" name="Image 1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02273" y="17831547"/>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7</xdr:col>
      <xdr:colOff>190500</xdr:colOff>
      <xdr:row>381</xdr:row>
      <xdr:rowOff>108858</xdr:rowOff>
    </xdr:from>
    <xdr:to>
      <xdr:col>8</xdr:col>
      <xdr:colOff>22441</xdr:colOff>
      <xdr:row>383</xdr:row>
      <xdr:rowOff>99571</xdr:rowOff>
    </xdr:to>
    <xdr:grpSp>
      <xdr:nvGrpSpPr>
        <xdr:cNvPr id="125" name="Groupe 124"/>
        <xdr:cNvGrpSpPr/>
      </xdr:nvGrpSpPr>
      <xdr:grpSpPr>
        <a:xfrm>
          <a:off x="11203214" y="75165858"/>
          <a:ext cx="993084" cy="389856"/>
          <a:chOff x="9574360" y="17813618"/>
          <a:chExt cx="852477" cy="398928"/>
        </a:xfrm>
      </xdr:grpSpPr>
      <xdr:pic>
        <xdr:nvPicPr>
          <xdr:cNvPr id="126"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74360" y="17813618"/>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 name="Image 12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02273" y="17831547"/>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7</xdr:col>
      <xdr:colOff>408214</xdr:colOff>
      <xdr:row>383</xdr:row>
      <xdr:rowOff>176893</xdr:rowOff>
    </xdr:from>
    <xdr:to>
      <xdr:col>7</xdr:col>
      <xdr:colOff>777657</xdr:colOff>
      <xdr:row>385</xdr:row>
      <xdr:rowOff>136979</xdr:rowOff>
    </xdr:to>
    <xdr:pic>
      <xdr:nvPicPr>
        <xdr:cNvPr id="128"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69285" y="66253179"/>
          <a:ext cx="369443"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81643</xdr:colOff>
      <xdr:row>396</xdr:row>
      <xdr:rowOff>81643</xdr:rowOff>
    </xdr:from>
    <xdr:to>
      <xdr:col>4</xdr:col>
      <xdr:colOff>961572</xdr:colOff>
      <xdr:row>406</xdr:row>
      <xdr:rowOff>190500</xdr:rowOff>
    </xdr:to>
    <xdr:pic>
      <xdr:nvPicPr>
        <xdr:cNvPr id="48" name="Image 47"/>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4640036" y="68852143"/>
          <a:ext cx="2921000" cy="2190750"/>
        </a:xfrm>
        <a:prstGeom prst="rect">
          <a:avLst/>
        </a:prstGeom>
      </xdr:spPr>
    </xdr:pic>
    <xdr:clientData/>
  </xdr:twoCellAnchor>
  <xdr:twoCellAnchor editAs="oneCell">
    <xdr:from>
      <xdr:col>7</xdr:col>
      <xdr:colOff>190501</xdr:colOff>
      <xdr:row>397</xdr:row>
      <xdr:rowOff>95249</xdr:rowOff>
    </xdr:from>
    <xdr:to>
      <xdr:col>7</xdr:col>
      <xdr:colOff>796420</xdr:colOff>
      <xdr:row>399</xdr:row>
      <xdr:rowOff>42635</xdr:rowOff>
    </xdr:to>
    <xdr:pic>
      <xdr:nvPicPr>
        <xdr:cNvPr id="129" name="Image 4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51572" y="69069856"/>
          <a:ext cx="605919" cy="35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299358</xdr:colOff>
      <xdr:row>399</xdr:row>
      <xdr:rowOff>176893</xdr:rowOff>
    </xdr:from>
    <xdr:to>
      <xdr:col>7</xdr:col>
      <xdr:colOff>723922</xdr:colOff>
      <xdr:row>401</xdr:row>
      <xdr:rowOff>108856</xdr:rowOff>
    </xdr:to>
    <xdr:pic>
      <xdr:nvPicPr>
        <xdr:cNvPr id="130"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60429" y="69559714"/>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54428</xdr:colOff>
      <xdr:row>414</xdr:row>
      <xdr:rowOff>112259</xdr:rowOff>
    </xdr:from>
    <xdr:to>
      <xdr:col>4</xdr:col>
      <xdr:colOff>929822</xdr:colOff>
      <xdr:row>425</xdr:row>
      <xdr:rowOff>54429</xdr:rowOff>
    </xdr:to>
    <xdr:pic>
      <xdr:nvPicPr>
        <xdr:cNvPr id="49" name="Image 48"/>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612821" y="72638330"/>
          <a:ext cx="2916465" cy="2187349"/>
        </a:xfrm>
        <a:prstGeom prst="rect">
          <a:avLst/>
        </a:prstGeom>
      </xdr:spPr>
    </xdr:pic>
    <xdr:clientData/>
  </xdr:twoCellAnchor>
  <xdr:twoCellAnchor editAs="oneCell">
    <xdr:from>
      <xdr:col>7</xdr:col>
      <xdr:colOff>176893</xdr:colOff>
      <xdr:row>415</xdr:row>
      <xdr:rowOff>68035</xdr:rowOff>
    </xdr:from>
    <xdr:to>
      <xdr:col>7</xdr:col>
      <xdr:colOff>782812</xdr:colOff>
      <xdr:row>417</xdr:row>
      <xdr:rowOff>15420</xdr:rowOff>
    </xdr:to>
    <xdr:pic>
      <xdr:nvPicPr>
        <xdr:cNvPr id="131" name="Image 4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37964" y="72798214"/>
          <a:ext cx="605919" cy="35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285750</xdr:colOff>
      <xdr:row>417</xdr:row>
      <xdr:rowOff>108857</xdr:rowOff>
    </xdr:from>
    <xdr:to>
      <xdr:col>7</xdr:col>
      <xdr:colOff>710314</xdr:colOff>
      <xdr:row>419</xdr:row>
      <xdr:rowOff>81642</xdr:rowOff>
    </xdr:to>
    <xdr:pic>
      <xdr:nvPicPr>
        <xdr:cNvPr id="132"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46821" y="73247250"/>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122465</xdr:colOff>
      <xdr:row>419</xdr:row>
      <xdr:rowOff>136071</xdr:rowOff>
    </xdr:from>
    <xdr:to>
      <xdr:col>7</xdr:col>
      <xdr:colOff>879444</xdr:colOff>
      <xdr:row>421</xdr:row>
      <xdr:rowOff>110351</xdr:rowOff>
    </xdr:to>
    <xdr:grpSp>
      <xdr:nvGrpSpPr>
        <xdr:cNvPr id="133" name="Groupe 132"/>
        <xdr:cNvGrpSpPr/>
      </xdr:nvGrpSpPr>
      <xdr:grpSpPr>
        <a:xfrm>
          <a:off x="11135179" y="82885642"/>
          <a:ext cx="756979" cy="373423"/>
          <a:chOff x="9502588" y="17738912"/>
          <a:chExt cx="756180" cy="382494"/>
        </a:xfrm>
      </xdr:grpSpPr>
      <xdr:pic>
        <xdr:nvPicPr>
          <xdr:cNvPr id="134"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9591" y="17753106"/>
            <a:ext cx="369177"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5"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02588" y="17738912"/>
            <a:ext cx="380364"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xdr:col>
      <xdr:colOff>857250</xdr:colOff>
      <xdr:row>401</xdr:row>
      <xdr:rowOff>136071</xdr:rowOff>
    </xdr:from>
    <xdr:to>
      <xdr:col>7</xdr:col>
      <xdr:colOff>948393</xdr:colOff>
      <xdr:row>403</xdr:row>
      <xdr:rowOff>121557</xdr:rowOff>
    </xdr:to>
    <xdr:grpSp>
      <xdr:nvGrpSpPr>
        <xdr:cNvPr id="136" name="Groupe 135"/>
        <xdr:cNvGrpSpPr/>
      </xdr:nvGrpSpPr>
      <xdr:grpSpPr>
        <a:xfrm>
          <a:off x="10708821" y="79257071"/>
          <a:ext cx="1252286" cy="384629"/>
          <a:chOff x="9552215" y="51353357"/>
          <a:chExt cx="1111678" cy="393700"/>
        </a:xfrm>
      </xdr:grpSpPr>
      <xdr:pic>
        <xdr:nvPicPr>
          <xdr:cNvPr id="137"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8938" y="51378757"/>
            <a:ext cx="35495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8"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9496" y="51367551"/>
            <a:ext cx="369443"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9"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52215" y="51353357"/>
            <a:ext cx="380638"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54429</xdr:colOff>
      <xdr:row>360</xdr:row>
      <xdr:rowOff>108858</xdr:rowOff>
    </xdr:from>
    <xdr:to>
      <xdr:col>4</xdr:col>
      <xdr:colOff>988787</xdr:colOff>
      <xdr:row>371</xdr:row>
      <xdr:rowOff>95251</xdr:rowOff>
    </xdr:to>
    <xdr:pic>
      <xdr:nvPicPr>
        <xdr:cNvPr id="50" name="Image 49"/>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612822" y="76349679"/>
          <a:ext cx="2975429" cy="2231572"/>
        </a:xfrm>
        <a:prstGeom prst="rect">
          <a:avLst/>
        </a:prstGeom>
      </xdr:spPr>
    </xdr:pic>
    <xdr:clientData/>
  </xdr:twoCellAnchor>
  <xdr:twoCellAnchor editAs="oneCell">
    <xdr:from>
      <xdr:col>7</xdr:col>
      <xdr:colOff>95249</xdr:colOff>
      <xdr:row>361</xdr:row>
      <xdr:rowOff>108858</xdr:rowOff>
    </xdr:from>
    <xdr:to>
      <xdr:col>7</xdr:col>
      <xdr:colOff>702363</xdr:colOff>
      <xdr:row>363</xdr:row>
      <xdr:rowOff>54430</xdr:rowOff>
    </xdr:to>
    <xdr:pic>
      <xdr:nvPicPr>
        <xdr:cNvPr id="140" name="Image 13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756320" y="76553787"/>
          <a:ext cx="607114" cy="353786"/>
        </a:xfrm>
        <a:prstGeom prst="rect">
          <a:avLst/>
        </a:prstGeom>
      </xdr:spPr>
    </xdr:pic>
    <xdr:clientData/>
  </xdr:twoCellAnchor>
  <xdr:twoCellAnchor>
    <xdr:from>
      <xdr:col>6</xdr:col>
      <xdr:colOff>1006927</xdr:colOff>
      <xdr:row>363</xdr:row>
      <xdr:rowOff>81642</xdr:rowOff>
    </xdr:from>
    <xdr:to>
      <xdr:col>7</xdr:col>
      <xdr:colOff>838869</xdr:colOff>
      <xdr:row>365</xdr:row>
      <xdr:rowOff>72356</xdr:rowOff>
    </xdr:to>
    <xdr:grpSp>
      <xdr:nvGrpSpPr>
        <xdr:cNvPr id="141" name="Groupe 140"/>
        <xdr:cNvGrpSpPr/>
      </xdr:nvGrpSpPr>
      <xdr:grpSpPr>
        <a:xfrm>
          <a:off x="10858498" y="71510071"/>
          <a:ext cx="993085" cy="389856"/>
          <a:chOff x="9574360" y="17813618"/>
          <a:chExt cx="852477" cy="398928"/>
        </a:xfrm>
      </xdr:grpSpPr>
      <xdr:pic>
        <xdr:nvPicPr>
          <xdr:cNvPr id="142"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74360" y="17813618"/>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3" name="Image 14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02273" y="17831547"/>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xdr:col>
      <xdr:colOff>517071</xdr:colOff>
      <xdr:row>365</xdr:row>
      <xdr:rowOff>108857</xdr:rowOff>
    </xdr:from>
    <xdr:to>
      <xdr:col>7</xdr:col>
      <xdr:colOff>995371</xdr:colOff>
      <xdr:row>367</xdr:row>
      <xdr:rowOff>96157</xdr:rowOff>
    </xdr:to>
    <xdr:grpSp>
      <xdr:nvGrpSpPr>
        <xdr:cNvPr id="52" name="Groupe 51"/>
        <xdr:cNvGrpSpPr/>
      </xdr:nvGrpSpPr>
      <xdr:grpSpPr>
        <a:xfrm>
          <a:off x="10368642" y="71936428"/>
          <a:ext cx="1639443" cy="386443"/>
          <a:chOff x="9157607" y="77370214"/>
          <a:chExt cx="1498835" cy="395514"/>
        </a:xfrm>
      </xdr:grpSpPr>
      <xdr:grpSp>
        <xdr:nvGrpSpPr>
          <xdr:cNvPr id="144" name="Groupe 143"/>
          <xdr:cNvGrpSpPr/>
        </xdr:nvGrpSpPr>
        <xdr:grpSpPr>
          <a:xfrm>
            <a:off x="9157607" y="77370214"/>
            <a:ext cx="1111678" cy="393700"/>
            <a:chOff x="9552215" y="51353357"/>
            <a:chExt cx="1111678" cy="393700"/>
          </a:xfrm>
        </xdr:grpSpPr>
        <xdr:pic>
          <xdr:nvPicPr>
            <xdr:cNvPr id="145"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8938" y="51378757"/>
              <a:ext cx="35495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6"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9496" y="51367551"/>
              <a:ext cx="369443"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7"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52215" y="51353357"/>
              <a:ext cx="380638"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48"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6999" y="77397428"/>
            <a:ext cx="369443"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40821</xdr:colOff>
      <xdr:row>216</xdr:row>
      <xdr:rowOff>40821</xdr:rowOff>
    </xdr:from>
    <xdr:to>
      <xdr:col>5</xdr:col>
      <xdr:colOff>13607</xdr:colOff>
      <xdr:row>227</xdr:row>
      <xdr:rowOff>71437</xdr:rowOff>
    </xdr:to>
    <xdr:pic>
      <xdr:nvPicPr>
        <xdr:cNvPr id="51" name="Image 50"/>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599214" y="79996392"/>
          <a:ext cx="3034393" cy="2275795"/>
        </a:xfrm>
        <a:prstGeom prst="rect">
          <a:avLst/>
        </a:prstGeom>
      </xdr:spPr>
    </xdr:pic>
    <xdr:clientData/>
  </xdr:twoCellAnchor>
  <xdr:twoCellAnchor editAs="oneCell">
    <xdr:from>
      <xdr:col>7</xdr:col>
      <xdr:colOff>95250</xdr:colOff>
      <xdr:row>217</xdr:row>
      <xdr:rowOff>95250</xdr:rowOff>
    </xdr:from>
    <xdr:to>
      <xdr:col>7</xdr:col>
      <xdr:colOff>701169</xdr:colOff>
      <xdr:row>219</xdr:row>
      <xdr:rowOff>42635</xdr:rowOff>
    </xdr:to>
    <xdr:pic>
      <xdr:nvPicPr>
        <xdr:cNvPr id="149" name="Image 4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56321" y="80254929"/>
          <a:ext cx="605919" cy="35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163286</xdr:colOff>
      <xdr:row>219</xdr:row>
      <xdr:rowOff>176893</xdr:rowOff>
    </xdr:from>
    <xdr:to>
      <xdr:col>7</xdr:col>
      <xdr:colOff>587850</xdr:colOff>
      <xdr:row>221</xdr:row>
      <xdr:rowOff>149678</xdr:rowOff>
    </xdr:to>
    <xdr:pic>
      <xdr:nvPicPr>
        <xdr:cNvPr id="150"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824357" y="80744786"/>
          <a:ext cx="424564"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517071</xdr:colOff>
      <xdr:row>221</xdr:row>
      <xdr:rowOff>149678</xdr:rowOff>
    </xdr:from>
    <xdr:to>
      <xdr:col>7</xdr:col>
      <xdr:colOff>995371</xdr:colOff>
      <xdr:row>223</xdr:row>
      <xdr:rowOff>136978</xdr:rowOff>
    </xdr:to>
    <xdr:grpSp>
      <xdr:nvGrpSpPr>
        <xdr:cNvPr id="151" name="Groupe 150"/>
        <xdr:cNvGrpSpPr/>
      </xdr:nvGrpSpPr>
      <xdr:grpSpPr>
        <a:xfrm>
          <a:off x="10368642" y="42948678"/>
          <a:ext cx="1639443" cy="386443"/>
          <a:chOff x="9157607" y="77370214"/>
          <a:chExt cx="1498835" cy="395514"/>
        </a:xfrm>
      </xdr:grpSpPr>
      <xdr:grpSp>
        <xdr:nvGrpSpPr>
          <xdr:cNvPr id="152" name="Groupe 151"/>
          <xdr:cNvGrpSpPr/>
        </xdr:nvGrpSpPr>
        <xdr:grpSpPr>
          <a:xfrm>
            <a:off x="9157607" y="77370214"/>
            <a:ext cx="1111678" cy="393700"/>
            <a:chOff x="9552215" y="51353357"/>
            <a:chExt cx="1111678" cy="393700"/>
          </a:xfrm>
        </xdr:grpSpPr>
        <xdr:pic>
          <xdr:nvPicPr>
            <xdr:cNvPr id="154"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8938" y="51378757"/>
              <a:ext cx="35495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5"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9496" y="51367551"/>
              <a:ext cx="369443"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6" name="Imag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52215" y="51353357"/>
              <a:ext cx="380638"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53"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6999" y="77397428"/>
            <a:ext cx="369443"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176892</xdr:colOff>
      <xdr:row>305</xdr:row>
      <xdr:rowOff>13607</xdr:rowOff>
    </xdr:from>
    <xdr:to>
      <xdr:col>4</xdr:col>
      <xdr:colOff>898071</xdr:colOff>
      <xdr:row>318</xdr:row>
      <xdr:rowOff>122464</xdr:rowOff>
    </xdr:to>
    <xdr:pic>
      <xdr:nvPicPr>
        <xdr:cNvPr id="53" name="Image 52"/>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735285" y="83479821"/>
          <a:ext cx="2762250" cy="2762250"/>
        </a:xfrm>
        <a:prstGeom prst="rect">
          <a:avLst/>
        </a:prstGeom>
      </xdr:spPr>
    </xdr:pic>
    <xdr:clientData/>
  </xdr:twoCellAnchor>
  <xdr:twoCellAnchor editAs="oneCell">
    <xdr:from>
      <xdr:col>7</xdr:col>
      <xdr:colOff>122465</xdr:colOff>
      <xdr:row>307</xdr:row>
      <xdr:rowOff>68036</xdr:rowOff>
    </xdr:from>
    <xdr:to>
      <xdr:col>7</xdr:col>
      <xdr:colOff>728384</xdr:colOff>
      <xdr:row>309</xdr:row>
      <xdr:rowOff>15421</xdr:rowOff>
    </xdr:to>
    <xdr:pic>
      <xdr:nvPicPr>
        <xdr:cNvPr id="157" name="Image 4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83536" y="83942465"/>
          <a:ext cx="605919" cy="35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884464</xdr:colOff>
      <xdr:row>309</xdr:row>
      <xdr:rowOff>108857</xdr:rowOff>
    </xdr:from>
    <xdr:to>
      <xdr:col>7</xdr:col>
      <xdr:colOff>996709</xdr:colOff>
      <xdr:row>311</xdr:row>
      <xdr:rowOff>117501</xdr:rowOff>
    </xdr:to>
    <xdr:grpSp>
      <xdr:nvGrpSpPr>
        <xdr:cNvPr id="158" name="Groupe 157"/>
        <xdr:cNvGrpSpPr/>
      </xdr:nvGrpSpPr>
      <xdr:grpSpPr>
        <a:xfrm>
          <a:off x="10736035" y="60651571"/>
          <a:ext cx="1273388" cy="407787"/>
          <a:chOff x="9970247" y="13671924"/>
          <a:chExt cx="1394759" cy="416858"/>
        </a:xfrm>
      </xdr:grpSpPr>
      <xdr:pic>
        <xdr:nvPicPr>
          <xdr:cNvPr id="159"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70247" y="13671924"/>
            <a:ext cx="47363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0" name="Image 15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47618" y="13689853"/>
            <a:ext cx="47363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1" name="Image 2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1371" y="13707783"/>
            <a:ext cx="47363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7</xdr:col>
      <xdr:colOff>231321</xdr:colOff>
      <xdr:row>311</xdr:row>
      <xdr:rowOff>190499</xdr:rowOff>
    </xdr:from>
    <xdr:to>
      <xdr:col>7</xdr:col>
      <xdr:colOff>600764</xdr:colOff>
      <xdr:row>313</xdr:row>
      <xdr:rowOff>150585</xdr:rowOff>
    </xdr:to>
    <xdr:pic>
      <xdr:nvPicPr>
        <xdr:cNvPr id="162" name="Imag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92392" y="84881356"/>
          <a:ext cx="369443"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1925</xdr:rowOff>
    </xdr:from>
    <xdr:to>
      <xdr:col>0</xdr:col>
      <xdr:colOff>3978636</xdr:colOff>
      <xdr:row>1</xdr:row>
      <xdr:rowOff>1793021</xdr:rowOff>
    </xdr:to>
    <xdr:sp macro="[0]!Classement" textlink="">
      <xdr:nvSpPr>
        <xdr:cNvPr id="4" name="ZoneTexte 3"/>
        <xdr:cNvSpPr txBox="1"/>
      </xdr:nvSpPr>
      <xdr:spPr>
        <a:xfrm>
          <a:off x="0" y="554749"/>
          <a:ext cx="3989294" cy="1791096"/>
        </a:xfrm>
        <a:prstGeom prst="rect">
          <a:avLst/>
        </a:prstGeom>
        <a:solidFill>
          <a:schemeClr val="accent2"/>
        </a:solidFill>
        <a:ln w="127000" cmpd="tri">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400"/>
            <a:t>Clique</a:t>
          </a:r>
          <a:r>
            <a:rPr lang="fr-FR" sz="2400" baseline="0"/>
            <a:t>r </a:t>
          </a:r>
          <a:r>
            <a:rPr lang="fr-FR" sz="2400" b="1" baseline="0">
              <a:solidFill>
                <a:sysClr val="windowText" lastClr="000000"/>
              </a:solidFill>
            </a:rPr>
            <a:t>ICI</a:t>
          </a:r>
          <a:r>
            <a:rPr lang="fr-FR" sz="2400" baseline="0"/>
            <a:t> </a:t>
          </a:r>
          <a:r>
            <a:rPr lang="fr-FR" sz="2400"/>
            <a:t>pour </a:t>
          </a:r>
        </a:p>
        <a:p>
          <a:pPr algn="ctr"/>
          <a:r>
            <a:rPr lang="fr-FR" sz="2400" u="sng"/>
            <a:t>classer les espèces</a:t>
          </a:r>
        </a:p>
      </xdr:txBody>
    </xdr:sp>
    <xdr:clientData/>
  </xdr:twoCellAnchor>
  <xdr:twoCellAnchor>
    <xdr:from>
      <xdr:col>0</xdr:col>
      <xdr:colOff>832224</xdr:colOff>
      <xdr:row>2</xdr:row>
      <xdr:rowOff>11206</xdr:rowOff>
    </xdr:from>
    <xdr:to>
      <xdr:col>5</xdr:col>
      <xdr:colOff>1568824</xdr:colOff>
      <xdr:row>31</xdr:row>
      <xdr:rowOff>145676</xdr:rowOff>
    </xdr:to>
    <xdr:graphicFrame macro="">
      <xdr:nvGraphicFramePr>
        <xdr:cNvPr id="2249350"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1</xdr:row>
      <xdr:rowOff>149678</xdr:rowOff>
    </xdr:from>
    <xdr:to>
      <xdr:col>0</xdr:col>
      <xdr:colOff>571500</xdr:colOff>
      <xdr:row>1</xdr:row>
      <xdr:rowOff>585107</xdr:rowOff>
    </xdr:to>
    <xdr:sp macro="" textlink="">
      <xdr:nvSpPr>
        <xdr:cNvPr id="2" name="Flèche droite 1"/>
        <xdr:cNvSpPr/>
      </xdr:nvSpPr>
      <xdr:spPr>
        <a:xfrm rot="2614314">
          <a:off x="149678" y="707571"/>
          <a:ext cx="421822" cy="435429"/>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2928256</xdr:colOff>
      <xdr:row>1</xdr:row>
      <xdr:rowOff>138792</xdr:rowOff>
    </xdr:from>
    <xdr:to>
      <xdr:col>0</xdr:col>
      <xdr:colOff>3350078</xdr:colOff>
      <xdr:row>1</xdr:row>
      <xdr:rowOff>574221</xdr:rowOff>
    </xdr:to>
    <xdr:sp macro="" textlink="">
      <xdr:nvSpPr>
        <xdr:cNvPr id="6" name="Flèche droite 5"/>
        <xdr:cNvSpPr/>
      </xdr:nvSpPr>
      <xdr:spPr>
        <a:xfrm rot="8350300">
          <a:off x="2928256" y="696685"/>
          <a:ext cx="421822" cy="435429"/>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2958193</xdr:colOff>
      <xdr:row>1</xdr:row>
      <xdr:rowOff>1243694</xdr:rowOff>
    </xdr:from>
    <xdr:to>
      <xdr:col>0</xdr:col>
      <xdr:colOff>3380015</xdr:colOff>
      <xdr:row>1</xdr:row>
      <xdr:rowOff>1679123</xdr:rowOff>
    </xdr:to>
    <xdr:sp macro="" textlink="">
      <xdr:nvSpPr>
        <xdr:cNvPr id="7" name="Flèche droite 6"/>
        <xdr:cNvSpPr/>
      </xdr:nvSpPr>
      <xdr:spPr>
        <a:xfrm rot="13492584">
          <a:off x="2958193" y="1801587"/>
          <a:ext cx="421822" cy="435429"/>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160197</xdr:colOff>
      <xdr:row>1</xdr:row>
      <xdr:rowOff>1246413</xdr:rowOff>
    </xdr:from>
    <xdr:to>
      <xdr:col>0</xdr:col>
      <xdr:colOff>582019</xdr:colOff>
      <xdr:row>1</xdr:row>
      <xdr:rowOff>1681842</xdr:rowOff>
    </xdr:to>
    <xdr:sp macro="" textlink="">
      <xdr:nvSpPr>
        <xdr:cNvPr id="8" name="Flèche droite 7"/>
        <xdr:cNvSpPr/>
      </xdr:nvSpPr>
      <xdr:spPr>
        <a:xfrm rot="19267371">
          <a:off x="160197" y="1804306"/>
          <a:ext cx="421822" cy="435429"/>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enableFormatConditionsCalculation="0"/>
  <dimension ref="A1:R55"/>
  <sheetViews>
    <sheetView topLeftCell="A24" zoomScale="85" zoomScaleNormal="85" zoomScalePageLayoutView="85" workbookViewId="0">
      <selection activeCell="A64" sqref="A64"/>
    </sheetView>
  </sheetViews>
  <sheetFormatPr baseColWidth="10" defaultColWidth="11.5" defaultRowHeight="14" x14ac:dyDescent="0"/>
  <cols>
    <col min="1" max="1" width="144.6640625" style="84" customWidth="1"/>
    <col min="2" max="16384" width="11.5" style="84"/>
  </cols>
  <sheetData>
    <row r="1" spans="1:18" ht="46">
      <c r="A1" s="233" t="s">
        <v>923</v>
      </c>
      <c r="B1" s="89"/>
      <c r="C1" s="89"/>
      <c r="D1" s="89"/>
      <c r="E1" s="89"/>
      <c r="F1" s="89"/>
      <c r="G1" s="89"/>
      <c r="H1" s="89"/>
      <c r="I1" s="89"/>
      <c r="J1" s="89"/>
      <c r="K1" s="89"/>
      <c r="L1" s="89"/>
      <c r="M1" s="89"/>
      <c r="N1" s="89"/>
      <c r="O1" s="89"/>
      <c r="P1" s="89"/>
      <c r="Q1" s="89"/>
      <c r="R1" s="89"/>
    </row>
    <row r="3" spans="1:18">
      <c r="A3" s="134" t="s">
        <v>280</v>
      </c>
    </row>
    <row r="4" spans="1:18" ht="28">
      <c r="A4" s="91" t="s">
        <v>605</v>
      </c>
      <c r="B4" s="91"/>
      <c r="C4" s="91"/>
      <c r="D4" s="91"/>
      <c r="E4" s="91"/>
      <c r="F4" s="91"/>
      <c r="G4" s="91"/>
      <c r="H4" s="91"/>
      <c r="I4" s="91"/>
      <c r="J4" s="91"/>
      <c r="K4" s="91"/>
      <c r="L4" s="91"/>
      <c r="M4" s="91"/>
      <c r="N4" s="91"/>
      <c r="O4" s="91"/>
      <c r="P4" s="91"/>
      <c r="Q4" s="91"/>
      <c r="R4" s="91"/>
    </row>
    <row r="5" spans="1:18">
      <c r="A5" s="91"/>
      <c r="B5" s="91"/>
      <c r="C5" s="91"/>
      <c r="D5" s="91"/>
      <c r="E5" s="91"/>
      <c r="F5" s="91"/>
      <c r="G5" s="91"/>
      <c r="H5" s="91"/>
      <c r="I5" s="91"/>
      <c r="J5" s="91"/>
      <c r="K5" s="91"/>
      <c r="L5" s="91"/>
      <c r="M5" s="91"/>
      <c r="N5" s="91"/>
      <c r="O5" s="91"/>
      <c r="P5" s="91"/>
      <c r="Q5" s="91"/>
      <c r="R5" s="91"/>
    </row>
    <row r="6" spans="1:18">
      <c r="A6" s="134" t="s">
        <v>606</v>
      </c>
      <c r="B6" s="91"/>
      <c r="C6" s="91"/>
      <c r="D6" s="91"/>
      <c r="E6" s="91"/>
      <c r="F6" s="91"/>
      <c r="G6" s="91"/>
      <c r="H6" s="91"/>
      <c r="I6" s="91"/>
      <c r="J6" s="91"/>
      <c r="K6" s="91"/>
      <c r="L6" s="91"/>
      <c r="M6" s="91"/>
      <c r="N6" s="91"/>
      <c r="O6" s="91"/>
      <c r="P6" s="91"/>
      <c r="Q6" s="91"/>
      <c r="R6" s="91"/>
    </row>
    <row r="7" spans="1:18" ht="98">
      <c r="A7" s="91" t="s">
        <v>912</v>
      </c>
      <c r="B7" s="91"/>
      <c r="C7" s="91"/>
      <c r="D7" s="91"/>
      <c r="E7" s="91"/>
      <c r="F7" s="91"/>
      <c r="G7" s="91"/>
      <c r="H7" s="91"/>
      <c r="I7" s="91"/>
      <c r="J7" s="91"/>
      <c r="K7" s="91"/>
      <c r="L7" s="91"/>
      <c r="M7" s="91"/>
      <c r="N7" s="91"/>
      <c r="O7" s="91"/>
      <c r="P7" s="91"/>
      <c r="Q7" s="91"/>
      <c r="R7" s="91"/>
    </row>
    <row r="8" spans="1:18">
      <c r="A8" s="91"/>
      <c r="B8" s="91"/>
      <c r="C8" s="91"/>
      <c r="D8" s="91"/>
      <c r="E8" s="91"/>
      <c r="F8" s="91"/>
      <c r="G8" s="91"/>
      <c r="H8" s="91"/>
      <c r="I8" s="91"/>
      <c r="J8" s="91"/>
      <c r="K8" s="91"/>
      <c r="L8" s="91"/>
      <c r="M8" s="91"/>
      <c r="N8" s="91"/>
      <c r="O8" s="91"/>
      <c r="P8" s="91"/>
      <c r="Q8" s="91"/>
      <c r="R8" s="91"/>
    </row>
    <row r="9" spans="1:18" ht="54">
      <c r="A9" s="410" t="s">
        <v>913</v>
      </c>
      <c r="B9" s="91"/>
      <c r="C9" s="91"/>
      <c r="D9" s="91"/>
      <c r="E9" s="91"/>
      <c r="F9" s="91"/>
      <c r="G9" s="91"/>
      <c r="H9" s="91"/>
      <c r="I9" s="91"/>
      <c r="J9" s="91"/>
      <c r="K9" s="91"/>
      <c r="L9" s="91"/>
      <c r="M9" s="91"/>
      <c r="N9" s="91"/>
      <c r="O9" s="91"/>
      <c r="P9" s="91"/>
      <c r="Q9" s="91"/>
      <c r="R9" s="91"/>
    </row>
    <row r="10" spans="1:18">
      <c r="A10" s="91"/>
      <c r="B10" s="91"/>
      <c r="C10" s="91"/>
      <c r="D10" s="91"/>
      <c r="E10" s="91"/>
      <c r="F10" s="91"/>
      <c r="G10" s="91"/>
      <c r="H10" s="91"/>
      <c r="I10" s="91"/>
      <c r="J10" s="91"/>
      <c r="K10" s="91"/>
      <c r="L10" s="91"/>
      <c r="M10" s="91"/>
      <c r="N10" s="91"/>
      <c r="O10" s="91"/>
      <c r="P10" s="91"/>
      <c r="Q10" s="91"/>
      <c r="R10" s="91"/>
    </row>
    <row r="11" spans="1:18">
      <c r="A11" s="234" t="s">
        <v>720</v>
      </c>
      <c r="B11" s="91"/>
      <c r="C11" s="91"/>
      <c r="D11" s="91"/>
      <c r="E11" s="91"/>
      <c r="F11" s="91"/>
      <c r="G11" s="91"/>
      <c r="H11" s="91"/>
      <c r="I11" s="91"/>
      <c r="J11" s="91"/>
      <c r="K11" s="91"/>
      <c r="L11" s="91"/>
      <c r="M11" s="91"/>
      <c r="N11" s="91"/>
      <c r="O11" s="91"/>
      <c r="P11" s="91"/>
      <c r="Q11" s="91"/>
      <c r="R11" s="91"/>
    </row>
    <row r="12" spans="1:18" ht="126">
      <c r="A12" s="91" t="s">
        <v>914</v>
      </c>
      <c r="B12" s="91"/>
      <c r="C12" s="91"/>
      <c r="D12" s="91"/>
      <c r="E12" s="91"/>
      <c r="F12" s="91"/>
      <c r="G12" s="91"/>
      <c r="H12" s="91"/>
      <c r="I12" s="91"/>
      <c r="J12" s="91"/>
      <c r="K12" s="91"/>
      <c r="L12" s="91"/>
      <c r="M12" s="91"/>
      <c r="N12" s="91"/>
      <c r="O12" s="91"/>
      <c r="P12" s="91"/>
      <c r="Q12" s="91"/>
      <c r="R12" s="91"/>
    </row>
    <row r="13" spans="1:18">
      <c r="A13" s="91"/>
      <c r="B13" s="91"/>
      <c r="C13" s="91"/>
      <c r="D13" s="91"/>
      <c r="E13" s="91"/>
      <c r="F13" s="91"/>
      <c r="G13" s="91"/>
      <c r="H13" s="91"/>
      <c r="I13" s="91"/>
      <c r="J13" s="91"/>
      <c r="K13" s="91"/>
      <c r="L13" s="91"/>
      <c r="M13" s="91"/>
      <c r="N13" s="91"/>
      <c r="O13" s="91"/>
      <c r="P13" s="91"/>
      <c r="Q13" s="91"/>
      <c r="R13" s="91"/>
    </row>
    <row r="14" spans="1:18">
      <c r="A14" s="234" t="s">
        <v>721</v>
      </c>
      <c r="B14" s="91"/>
      <c r="C14" s="91"/>
      <c r="D14" s="91"/>
      <c r="E14" s="91"/>
      <c r="F14" s="91"/>
      <c r="G14" s="91"/>
      <c r="H14" s="91"/>
      <c r="I14" s="91"/>
      <c r="J14" s="91"/>
      <c r="K14" s="91"/>
      <c r="L14" s="91"/>
      <c r="M14" s="91"/>
      <c r="N14" s="91"/>
      <c r="O14" s="91"/>
      <c r="P14" s="91"/>
      <c r="Q14" s="91"/>
      <c r="R14" s="91"/>
    </row>
    <row r="15" spans="1:18" ht="289.5" customHeight="1">
      <c r="A15" s="91" t="s">
        <v>742</v>
      </c>
      <c r="B15" s="91"/>
      <c r="C15" s="91"/>
      <c r="D15" s="91"/>
      <c r="E15" s="91"/>
      <c r="F15" s="91"/>
      <c r="G15" s="91"/>
      <c r="H15" s="91"/>
      <c r="I15" s="91"/>
      <c r="J15" s="91"/>
      <c r="K15" s="91"/>
      <c r="L15" s="91"/>
      <c r="M15" s="91"/>
      <c r="N15" s="91"/>
      <c r="O15" s="91"/>
      <c r="P15" s="91"/>
      <c r="Q15" s="91"/>
      <c r="R15" s="91"/>
    </row>
    <row r="16" spans="1:18" ht="15.75" customHeight="1">
      <c r="A16" s="91"/>
      <c r="B16" s="91"/>
      <c r="C16" s="447"/>
      <c r="D16" s="447"/>
      <c r="E16" s="447"/>
      <c r="F16" s="447"/>
      <c r="G16" s="447"/>
      <c r="H16" s="447"/>
      <c r="I16" s="91"/>
      <c r="J16" s="91"/>
      <c r="K16" s="91"/>
      <c r="L16" s="91"/>
      <c r="M16" s="91"/>
      <c r="N16" s="91"/>
      <c r="O16" s="91"/>
      <c r="P16" s="91"/>
      <c r="Q16" s="91"/>
      <c r="R16" s="91"/>
    </row>
    <row r="17" spans="1:18">
      <c r="A17" s="234" t="s">
        <v>722</v>
      </c>
      <c r="B17" s="91"/>
      <c r="C17" s="91"/>
      <c r="D17" s="91"/>
      <c r="E17" s="91"/>
      <c r="F17" s="91"/>
      <c r="G17" s="91"/>
      <c r="H17" s="91"/>
      <c r="I17" s="91"/>
      <c r="J17" s="91"/>
      <c r="K17" s="91"/>
      <c r="L17" s="91"/>
      <c r="M17" s="91"/>
      <c r="N17" s="91"/>
      <c r="O17" s="91"/>
      <c r="P17" s="91"/>
      <c r="Q17" s="91"/>
      <c r="R17" s="91"/>
    </row>
    <row r="18" spans="1:18" ht="28">
      <c r="A18" s="91" t="s">
        <v>743</v>
      </c>
      <c r="B18" s="91"/>
      <c r="C18" s="91"/>
      <c r="D18" s="91"/>
      <c r="E18" s="91"/>
      <c r="F18" s="91"/>
      <c r="G18" s="91"/>
      <c r="H18" s="91"/>
      <c r="I18" s="91"/>
      <c r="J18" s="91"/>
      <c r="K18" s="91"/>
      <c r="L18" s="91"/>
      <c r="M18" s="91"/>
      <c r="N18" s="91"/>
      <c r="O18" s="91"/>
      <c r="P18" s="91"/>
      <c r="Q18" s="91"/>
      <c r="R18" s="91"/>
    </row>
    <row r="19" spans="1:18">
      <c r="A19" s="91"/>
      <c r="B19" s="169"/>
      <c r="C19" s="91"/>
      <c r="D19" s="91"/>
      <c r="E19" s="91"/>
      <c r="F19" s="91"/>
      <c r="G19" s="91"/>
      <c r="H19" s="91"/>
      <c r="I19" s="91"/>
      <c r="J19" s="91"/>
      <c r="K19" s="91"/>
      <c r="L19" s="91"/>
      <c r="M19" s="91"/>
      <c r="N19" s="91"/>
      <c r="O19" s="91"/>
      <c r="P19" s="91"/>
      <c r="Q19" s="91"/>
      <c r="R19" s="91"/>
    </row>
    <row r="20" spans="1:18">
      <c r="A20" s="234" t="s">
        <v>723</v>
      </c>
      <c r="B20" s="168"/>
      <c r="C20" s="168"/>
      <c r="D20" s="168"/>
      <c r="E20" s="91"/>
      <c r="F20" s="91"/>
      <c r="G20" s="91"/>
      <c r="H20" s="91"/>
      <c r="I20" s="91"/>
      <c r="K20" s="91"/>
      <c r="L20" s="91"/>
      <c r="M20" s="91"/>
      <c r="N20" s="91"/>
      <c r="O20" s="91"/>
      <c r="P20" s="91"/>
      <c r="Q20" s="91"/>
      <c r="R20" s="91"/>
    </row>
    <row r="21" spans="1:18">
      <c r="A21" s="91" t="s">
        <v>607</v>
      </c>
      <c r="B21" s="91"/>
      <c r="C21" s="91"/>
      <c r="D21" s="91"/>
      <c r="E21" s="91"/>
      <c r="F21" s="91"/>
      <c r="G21" s="91"/>
      <c r="H21" s="91"/>
      <c r="I21" s="91"/>
      <c r="J21" s="91"/>
      <c r="K21" s="91"/>
      <c r="L21" s="91"/>
      <c r="M21" s="91"/>
      <c r="N21" s="91"/>
      <c r="O21" s="91"/>
      <c r="P21" s="91"/>
      <c r="Q21" s="91"/>
      <c r="R21" s="91"/>
    </row>
    <row r="22" spans="1:18">
      <c r="A22" s="91" t="s">
        <v>616</v>
      </c>
      <c r="B22"/>
      <c r="C22" s="91"/>
      <c r="D22" s="91"/>
      <c r="E22" s="91"/>
      <c r="F22" s="91"/>
      <c r="G22" s="91"/>
      <c r="H22" s="91"/>
      <c r="I22" s="91"/>
      <c r="J22" s="91"/>
      <c r="K22" s="91"/>
      <c r="L22" s="91"/>
      <c r="M22" s="91"/>
      <c r="N22" s="91"/>
      <c r="O22" s="91"/>
      <c r="P22" s="91"/>
      <c r="Q22" s="91"/>
      <c r="R22" s="91"/>
    </row>
    <row r="23" spans="1:18">
      <c r="A23" s="91" t="s">
        <v>380</v>
      </c>
      <c r="B23" s="91"/>
      <c r="C23" s="91"/>
      <c r="D23" s="91"/>
      <c r="E23" s="91"/>
      <c r="F23" s="91"/>
      <c r="G23" s="91"/>
      <c r="H23" s="91"/>
      <c r="I23" s="91"/>
      <c r="J23" s="91"/>
      <c r="K23" s="91"/>
      <c r="L23" s="91"/>
      <c r="M23" s="91"/>
      <c r="N23" s="91"/>
      <c r="O23" s="91"/>
      <c r="P23" s="91"/>
      <c r="Q23" s="91"/>
      <c r="R23" s="91"/>
    </row>
    <row r="24" spans="1:18">
      <c r="A24" s="91" t="s">
        <v>613</v>
      </c>
      <c r="B24" s="91"/>
      <c r="C24" s="91"/>
      <c r="D24" s="91"/>
      <c r="E24" s="91"/>
      <c r="F24" s="91"/>
      <c r="G24" s="91"/>
      <c r="H24" s="91"/>
      <c r="I24" s="91"/>
      <c r="J24" s="91"/>
      <c r="K24" s="91"/>
      <c r="L24" s="91"/>
      <c r="M24" s="91"/>
      <c r="N24" s="91"/>
      <c r="O24" s="91"/>
      <c r="P24" s="91"/>
      <c r="Q24" s="91"/>
      <c r="R24" s="91"/>
    </row>
    <row r="25" spans="1:18">
      <c r="A25" s="91" t="s">
        <v>611</v>
      </c>
      <c r="B25" s="91"/>
      <c r="C25" s="91"/>
      <c r="D25" s="91"/>
      <c r="E25" s="91"/>
      <c r="F25" s="91"/>
      <c r="G25" s="91"/>
      <c r="H25" s="91"/>
      <c r="I25" s="91"/>
      <c r="J25" s="91"/>
      <c r="K25" s="91"/>
      <c r="L25" s="91"/>
      <c r="M25" s="91"/>
      <c r="N25" s="91"/>
      <c r="O25" s="91"/>
      <c r="P25" s="91"/>
      <c r="Q25" s="91"/>
      <c r="R25" s="91"/>
    </row>
    <row r="26" spans="1:18">
      <c r="A26" s="91" t="s">
        <v>615</v>
      </c>
      <c r="B26" s="91"/>
      <c r="C26" s="91"/>
      <c r="D26" s="91"/>
      <c r="E26" s="91"/>
      <c r="F26" s="91"/>
      <c r="G26" s="91"/>
      <c r="H26" s="91"/>
      <c r="I26" s="91"/>
      <c r="J26" s="91"/>
      <c r="K26" s="91"/>
      <c r="L26" s="91"/>
      <c r="M26" s="91"/>
      <c r="N26" s="91"/>
      <c r="O26" s="91"/>
      <c r="P26" s="91"/>
      <c r="Q26" s="91"/>
      <c r="R26" s="91"/>
    </row>
    <row r="27" spans="1:18" ht="15.75" customHeight="1">
      <c r="A27" s="91" t="s">
        <v>614</v>
      </c>
      <c r="B27" s="91"/>
      <c r="C27" s="91"/>
      <c r="D27" s="1"/>
      <c r="E27" s="1"/>
      <c r="F27" s="1"/>
      <c r="G27" s="1"/>
      <c r="H27" s="1"/>
      <c r="I27" s="91"/>
      <c r="J27" s="91"/>
      <c r="K27" s="91"/>
      <c r="L27" s="91"/>
      <c r="M27" s="91"/>
      <c r="N27" s="91"/>
      <c r="O27" s="91"/>
      <c r="P27" s="91"/>
      <c r="Q27" s="91"/>
      <c r="R27" s="91"/>
    </row>
    <row r="28" spans="1:18">
      <c r="A28" s="91" t="s">
        <v>610</v>
      </c>
      <c r="B28" s="91"/>
      <c r="C28" s="91"/>
      <c r="D28" s="91"/>
      <c r="E28" s="91"/>
      <c r="F28" s="91"/>
      <c r="G28" s="91"/>
      <c r="H28" s="91"/>
      <c r="I28" s="91"/>
      <c r="J28" s="91"/>
      <c r="K28" s="91"/>
      <c r="L28" s="91"/>
      <c r="M28" s="91"/>
      <c r="N28" s="91"/>
      <c r="O28" s="91"/>
      <c r="P28" s="91"/>
      <c r="Q28" s="91"/>
      <c r="R28" s="91"/>
    </row>
    <row r="29" spans="1:18">
      <c r="A29" s="91" t="s">
        <v>609</v>
      </c>
      <c r="B29" s="91"/>
      <c r="C29" s="91"/>
      <c r="D29" s="91"/>
      <c r="E29" s="91"/>
      <c r="F29" s="91"/>
      <c r="G29" s="91"/>
      <c r="H29" s="91"/>
      <c r="I29" s="91"/>
      <c r="J29" s="91"/>
      <c r="K29" s="91"/>
      <c r="L29" s="91"/>
      <c r="M29" s="91"/>
      <c r="N29" s="91"/>
      <c r="O29" s="91"/>
      <c r="P29" s="91"/>
      <c r="Q29" s="91"/>
      <c r="R29" s="91"/>
    </row>
    <row r="30" spans="1:18">
      <c r="A30" s="91" t="s">
        <v>612</v>
      </c>
      <c r="B30" s="91"/>
      <c r="C30" s="91"/>
      <c r="D30" s="91"/>
      <c r="E30" s="91"/>
      <c r="F30" s="91"/>
      <c r="G30" s="91"/>
      <c r="H30" s="91"/>
      <c r="I30" s="91"/>
      <c r="J30" s="91"/>
      <c r="K30" s="91"/>
      <c r="L30" s="91"/>
      <c r="M30" s="91"/>
      <c r="N30" s="91"/>
      <c r="O30" s="91"/>
      <c r="P30" s="91"/>
      <c r="Q30" s="91"/>
      <c r="R30" s="91"/>
    </row>
    <row r="31" spans="1:18">
      <c r="A31" s="91" t="s">
        <v>608</v>
      </c>
      <c r="B31" s="91"/>
      <c r="C31" s="91"/>
      <c r="D31" s="91"/>
      <c r="E31" s="91"/>
      <c r="F31" s="91"/>
      <c r="G31" s="91"/>
      <c r="H31" s="91"/>
      <c r="I31" s="91"/>
      <c r="J31" s="91"/>
      <c r="K31" s="91"/>
      <c r="L31" s="91"/>
      <c r="M31" s="91"/>
      <c r="N31" s="91"/>
      <c r="O31" s="91"/>
      <c r="P31" s="91"/>
      <c r="Q31" s="91"/>
      <c r="R31" s="91"/>
    </row>
    <row r="32" spans="1:18">
      <c r="A32" s="91"/>
      <c r="B32" s="91"/>
      <c r="C32" s="91"/>
      <c r="D32" s="91"/>
      <c r="E32" s="91"/>
      <c r="F32" s="91"/>
      <c r="G32" s="91"/>
      <c r="H32" s="91"/>
      <c r="I32" s="91"/>
      <c r="J32" s="91"/>
      <c r="K32" s="91"/>
      <c r="L32" s="91"/>
      <c r="M32" s="91"/>
      <c r="N32" s="91"/>
      <c r="O32" s="91"/>
      <c r="P32" s="91"/>
      <c r="Q32" s="91"/>
      <c r="R32" s="91"/>
    </row>
    <row r="33" spans="1:6">
      <c r="A33" s="90" t="s">
        <v>293</v>
      </c>
      <c r="B33" s="448" t="s">
        <v>660</v>
      </c>
      <c r="C33" s="448"/>
      <c r="D33" s="448"/>
      <c r="E33" s="448"/>
      <c r="F33" s="448"/>
    </row>
    <row r="35" spans="1:6">
      <c r="A35" s="1"/>
    </row>
    <row r="36" spans="1:6">
      <c r="D36" s="135"/>
    </row>
    <row r="49" spans="1:1">
      <c r="A49" s="1" t="s">
        <v>294</v>
      </c>
    </row>
    <row r="55" spans="1:1">
      <c r="A55" s="90"/>
    </row>
  </sheetData>
  <sheetProtection password="CDF2" sheet="1" objects="1" scenarios="1" selectLockedCells="1"/>
  <mergeCells count="2">
    <mergeCell ref="C16:H16"/>
    <mergeCell ref="B33:F33"/>
  </mergeCells>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enableFormatConditionsCalculation="0"/>
  <dimension ref="A1:AF95"/>
  <sheetViews>
    <sheetView zoomScale="85" zoomScaleNormal="85" zoomScalePageLayoutView="85" workbookViewId="0">
      <selection activeCell="D89" sqref="D89"/>
    </sheetView>
  </sheetViews>
  <sheetFormatPr baseColWidth="10" defaultRowHeight="14" x14ac:dyDescent="0"/>
  <cols>
    <col min="1" max="1" width="32.5" customWidth="1"/>
    <col min="13" max="22" width="10.83203125" style="1"/>
  </cols>
  <sheetData>
    <row r="1" spans="1:31" s="1" customFormat="1">
      <c r="A1" s="90" t="s">
        <v>516</v>
      </c>
      <c r="B1" s="84"/>
      <c r="C1" s="84"/>
      <c r="D1" s="84"/>
      <c r="E1" s="84"/>
      <c r="F1" s="84"/>
      <c r="G1" s="84"/>
      <c r="H1" s="84"/>
      <c r="I1" s="84"/>
      <c r="J1" s="84"/>
      <c r="K1" s="84"/>
      <c r="L1" s="84"/>
      <c r="M1" s="84"/>
      <c r="N1" s="84"/>
      <c r="O1" s="84"/>
      <c r="P1" s="84"/>
      <c r="Q1" s="84"/>
      <c r="R1" s="84"/>
      <c r="S1" s="84"/>
      <c r="T1" s="84"/>
      <c r="U1" s="84"/>
      <c r="V1" s="84"/>
      <c r="W1" s="84"/>
      <c r="X1" s="84"/>
      <c r="Y1" s="19"/>
      <c r="Z1" s="84"/>
      <c r="AA1" s="84"/>
      <c r="AB1" s="84"/>
    </row>
    <row r="2" spans="1:31" s="1" customFormat="1" ht="15">
      <c r="A2" s="100">
        <v>1</v>
      </c>
      <c r="B2" s="100">
        <v>2</v>
      </c>
      <c r="C2" s="100">
        <v>3</v>
      </c>
      <c r="D2" s="100">
        <v>4</v>
      </c>
      <c r="E2" s="100">
        <v>5</v>
      </c>
      <c r="F2" s="100">
        <v>6</v>
      </c>
      <c r="G2" s="100">
        <v>7</v>
      </c>
      <c r="H2" s="100">
        <v>8</v>
      </c>
      <c r="I2" s="100">
        <v>9</v>
      </c>
      <c r="J2" s="100">
        <v>10</v>
      </c>
      <c r="K2" s="100">
        <v>11</v>
      </c>
      <c r="L2" s="100">
        <v>12</v>
      </c>
      <c r="M2" s="100">
        <v>13</v>
      </c>
      <c r="N2" s="100">
        <v>14</v>
      </c>
      <c r="O2" s="100">
        <v>15</v>
      </c>
      <c r="P2" s="100">
        <v>16</v>
      </c>
      <c r="Q2" s="100">
        <v>17</v>
      </c>
      <c r="R2" s="100">
        <v>18</v>
      </c>
      <c r="S2" s="100">
        <v>19</v>
      </c>
      <c r="T2" s="100">
        <v>20</v>
      </c>
      <c r="U2" s="100">
        <v>21</v>
      </c>
      <c r="V2" s="100">
        <v>22</v>
      </c>
      <c r="W2" s="84"/>
      <c r="X2" s="84"/>
      <c r="Z2" s="84"/>
      <c r="AA2" s="84"/>
      <c r="AB2" s="84"/>
    </row>
    <row r="3" spans="1:31" s="1" customFormat="1" ht="15">
      <c r="A3" s="9" t="s">
        <v>68</v>
      </c>
      <c r="B3" s="100" t="str">
        <f t="shared" ref="B3:V3" si="0">INDEX(Especes,1,B$2+1)</f>
        <v>Avoine noire</v>
      </c>
      <c r="C3" s="100" t="str">
        <f t="shared" si="0"/>
        <v>Avoine rude</v>
      </c>
      <c r="D3" s="100" t="str">
        <f t="shared" si="0"/>
        <v>Cameline</v>
      </c>
      <c r="E3" s="100" t="str">
        <f t="shared" si="0"/>
        <v>Fenugrec</v>
      </c>
      <c r="F3" s="100" t="str">
        <f t="shared" si="0"/>
        <v>Feverole de printemps précoce</v>
      </c>
      <c r="G3" s="100" t="str">
        <f t="shared" si="0"/>
        <v>Gesse</v>
      </c>
      <c r="H3" s="100" t="str">
        <f t="shared" si="0"/>
        <v>Lentille fourragere</v>
      </c>
      <c r="I3" s="100" t="str">
        <f t="shared" si="0"/>
        <v>Lin de printemps (graine)</v>
      </c>
      <c r="J3" s="100" t="str">
        <f t="shared" si="0"/>
        <v>Luzerne</v>
      </c>
      <c r="K3" s="100" t="str">
        <f t="shared" si="0"/>
        <v>Navette fourragere</v>
      </c>
      <c r="L3" s="100" t="str">
        <f t="shared" si="0"/>
        <v>Nyger</v>
      </c>
      <c r="M3" s="100" t="str">
        <f t="shared" si="0"/>
        <v>Phacelie</v>
      </c>
      <c r="N3" s="100" t="str">
        <f t="shared" si="0"/>
        <v>Pois fourrager de printemps</v>
      </c>
      <c r="O3" s="100" t="str">
        <f t="shared" si="0"/>
        <v>Pois protéagineux</v>
      </c>
      <c r="P3" s="100" t="str">
        <f t="shared" si="0"/>
        <v>Sarrasin</v>
      </c>
      <c r="Q3" s="100" t="str">
        <f t="shared" si="0"/>
        <v>Tournesol</v>
      </c>
      <c r="R3" s="100" t="str">
        <f t="shared" si="0"/>
        <v>Trefle Alexandrie monocoupe précoce</v>
      </c>
      <c r="S3" s="100" t="str">
        <f t="shared" si="0"/>
        <v>Trefle blanc nain</v>
      </c>
      <c r="T3" s="100" t="str">
        <f t="shared" si="0"/>
        <v>Vesce commune de printemps</v>
      </c>
      <c r="U3" s="100" t="str">
        <f t="shared" si="0"/>
        <v>Vesce pourpre précoce</v>
      </c>
      <c r="V3" s="100" t="str">
        <f t="shared" si="0"/>
        <v>Nouvelle espece</v>
      </c>
      <c r="W3" s="1" t="s">
        <v>686</v>
      </c>
      <c r="X3" s="1" t="s">
        <v>688</v>
      </c>
      <c r="Y3" s="1" t="s">
        <v>687</v>
      </c>
      <c r="Z3" s="1" t="s">
        <v>689</v>
      </c>
      <c r="AA3" s="3" t="s">
        <v>691</v>
      </c>
      <c r="AB3" s="3" t="s">
        <v>522</v>
      </c>
      <c r="AC3" s="3" t="s">
        <v>429</v>
      </c>
      <c r="AD3" s="3" t="s">
        <v>515</v>
      </c>
    </row>
    <row r="4" spans="1:31" s="1" customFormat="1">
      <c r="A4" s="9" t="s">
        <v>69</v>
      </c>
      <c r="B4" s="185" t="e">
        <f t="shared" ref="B4:U4" si="1">INDEX(Resultat_azote,1,B$2)*$AB4*$AC4*$AD4</f>
        <v>#N/A</v>
      </c>
      <c r="C4" s="185" t="e">
        <f t="shared" si="1"/>
        <v>#N/A</v>
      </c>
      <c r="D4" s="185" t="e">
        <f t="shared" si="1"/>
        <v>#N/A</v>
      </c>
      <c r="E4" s="185" t="e">
        <f t="shared" si="1"/>
        <v>#N/A</v>
      </c>
      <c r="F4" s="185" t="e">
        <f t="shared" si="1"/>
        <v>#N/A</v>
      </c>
      <c r="G4" s="185" t="e">
        <f t="shared" si="1"/>
        <v>#N/A</v>
      </c>
      <c r="H4" s="185" t="e">
        <f t="shared" si="1"/>
        <v>#N/A</v>
      </c>
      <c r="I4" s="185" t="e">
        <f t="shared" si="1"/>
        <v>#N/A</v>
      </c>
      <c r="J4" s="185" t="e">
        <f t="shared" si="1"/>
        <v>#N/A</v>
      </c>
      <c r="K4" s="185" t="e">
        <f t="shared" si="1"/>
        <v>#N/A</v>
      </c>
      <c r="L4" s="185" t="e">
        <f t="shared" si="1"/>
        <v>#N/A</v>
      </c>
      <c r="M4" s="185" t="e">
        <f t="shared" si="1"/>
        <v>#N/A</v>
      </c>
      <c r="N4" s="185" t="e">
        <f t="shared" si="1"/>
        <v>#N/A</v>
      </c>
      <c r="O4" s="185" t="e">
        <f t="shared" si="1"/>
        <v>#N/A</v>
      </c>
      <c r="P4" s="185" t="e">
        <f t="shared" si="1"/>
        <v>#N/A</v>
      </c>
      <c r="Q4" s="185" t="e">
        <f t="shared" si="1"/>
        <v>#N/A</v>
      </c>
      <c r="R4" s="185" t="e">
        <f t="shared" si="1"/>
        <v>#N/A</v>
      </c>
      <c r="S4" s="185" t="e">
        <f t="shared" si="1"/>
        <v>#N/A</v>
      </c>
      <c r="T4" s="185" t="e">
        <f t="shared" si="1"/>
        <v>#N/A</v>
      </c>
      <c r="U4" s="185" t="e">
        <f t="shared" si="1"/>
        <v>#N/A</v>
      </c>
      <c r="V4" s="185" t="str">
        <f>IF(Espèces!W30="","0",INDEX(Resultat_azote,1,V$2)*$AB4*$AC4*$AD4)</f>
        <v>0</v>
      </c>
      <c r="W4" s="186" t="e">
        <f>(C4*$F$91*C$15+E4*$G$91*E$15)/(C$15*$F$91+E$15*$G$91)*W$25*$AB4</f>
        <v>#N/A</v>
      </c>
      <c r="X4" s="186" t="e">
        <f>(K4*$G$81*K$15+L4*$F$81*L$15+J4*$H$81*J$15)/(K$15*$G$81+L$15*$F$81+J$15*$H$81)*X$25*$AB4</f>
        <v>#N/A</v>
      </c>
      <c r="Y4" s="186" t="e">
        <f>(B4*$C$81*B$15+E4*$D$81*E$15+D4*$B$81*D$15)/(B$15*$C$81+E$15*$D$81+D$15*$B$81)*Y$25*$AB4</f>
        <v>#N/A</v>
      </c>
      <c r="Z4" s="194" t="e">
        <f>(C4*$B$91*C$15+L4*$C$91*L$15+J4*$D$91*J$15)/(C$15*$B$91+L$15*$C$91+J$15*$D$91)*Z$25*$AB4</f>
        <v>#N/A</v>
      </c>
      <c r="AA4" s="1">
        <f>IF(SUM(B$22:V$22)=0,0,SUMPRODUCT($B$15:$V$15,$B$24:$V$24,$B4:$V4)/SUMPRODUCT($B$15:$V$15,$B$24:$V$24)*$AA$25)</f>
        <v>0</v>
      </c>
      <c r="AB4" s="1">
        <f>'Services à renseigner'!E3</f>
        <v>1</v>
      </c>
      <c r="AC4" s="1">
        <f>'Services à renseigner'!D3</f>
        <v>1</v>
      </c>
      <c r="AD4" s="160">
        <f>10/7</f>
        <v>1.4285714285714286</v>
      </c>
      <c r="AE4" s="227" t="s">
        <v>659</v>
      </c>
    </row>
    <row r="5" spans="1:31" s="1" customFormat="1">
      <c r="A5" s="9" t="s">
        <v>70</v>
      </c>
      <c r="B5" s="185" t="e">
        <f>INDEX(Resultat_limaces,1,B$2)*$AB5*$AC5*$AD5</f>
        <v>#N/A</v>
      </c>
      <c r="C5" s="185" t="e">
        <f t="shared" ref="C5:U5" si="2">INDEX(Resultat_limaces,1,C$2)*$AB5*$AC5*10/3</f>
        <v>#N/A</v>
      </c>
      <c r="D5" s="185" t="e">
        <f t="shared" si="2"/>
        <v>#N/A</v>
      </c>
      <c r="E5" s="185" t="e">
        <f t="shared" si="2"/>
        <v>#N/A</v>
      </c>
      <c r="F5" s="185" t="e">
        <f t="shared" si="2"/>
        <v>#N/A</v>
      </c>
      <c r="G5" s="185" t="e">
        <f t="shared" si="2"/>
        <v>#N/A</v>
      </c>
      <c r="H5" s="185" t="e">
        <f t="shared" si="2"/>
        <v>#N/A</v>
      </c>
      <c r="I5" s="185" t="e">
        <f t="shared" si="2"/>
        <v>#N/A</v>
      </c>
      <c r="J5" s="185" t="e">
        <f t="shared" si="2"/>
        <v>#N/A</v>
      </c>
      <c r="K5" s="185" t="e">
        <f t="shared" si="2"/>
        <v>#N/A</v>
      </c>
      <c r="L5" s="185" t="e">
        <f t="shared" si="2"/>
        <v>#N/A</v>
      </c>
      <c r="M5" s="185" t="e">
        <f t="shared" si="2"/>
        <v>#N/A</v>
      </c>
      <c r="N5" s="185" t="e">
        <f t="shared" si="2"/>
        <v>#N/A</v>
      </c>
      <c r="O5" s="185" t="e">
        <f t="shared" si="2"/>
        <v>#N/A</v>
      </c>
      <c r="P5" s="185" t="e">
        <f t="shared" si="2"/>
        <v>#N/A</v>
      </c>
      <c r="Q5" s="185" t="e">
        <f t="shared" si="2"/>
        <v>#N/A</v>
      </c>
      <c r="R5" s="185" t="e">
        <f t="shared" si="2"/>
        <v>#N/A</v>
      </c>
      <c r="S5" s="185" t="e">
        <f t="shared" si="2"/>
        <v>#N/A</v>
      </c>
      <c r="T5" s="185" t="e">
        <f t="shared" si="2"/>
        <v>#N/A</v>
      </c>
      <c r="U5" s="185" t="e">
        <f t="shared" si="2"/>
        <v>#N/A</v>
      </c>
      <c r="V5" s="185" t="str">
        <f>IF(Espèces!W30="","0",INDEX(Resultat_limaces,1,V$2)*$AB5*$AC5*10/3)</f>
        <v>0</v>
      </c>
      <c r="W5" s="188" t="e">
        <f>(C5*$F$91*C$15+E5*$G$91*E$15)/(C$15*$F$91+E$15*$G$91)*$AB5</f>
        <v>#N/A</v>
      </c>
      <c r="X5" s="188" t="e">
        <f>(K5*$G$81*K$15+L5*$F$81*L$15+J5*$H$81*J$15)/(K$15*$G$81+L$15*$F$81+J$15*$H$81)*$AB5</f>
        <v>#N/A</v>
      </c>
      <c r="Y5" s="188" t="e">
        <f>(B5*$C$81*B$15+E5*$D$81*E$15+D5*$B$81*D$15)/(B$15*$C$81+E$15*$D$81+D$15*$B$81)*$AB5</f>
        <v>#N/A</v>
      </c>
      <c r="Z5" s="188" t="e">
        <f>(C5*$B$91*C$15+L5*$C$91*L$15+J5*$D$91*J$15)/(C$15*$B$91+L$15*$C$91+J$15*$D$91)*$AB5</f>
        <v>#N/A</v>
      </c>
      <c r="AA5" s="1">
        <f>IF(SUM(B$22:V$22)=0,0,SUMPRODUCT($B$15:$V$15,$B$24:$V$24,$B5:$V5)/SUMPRODUCT($B$15:$V$15,$B$24:$V$24))</f>
        <v>0</v>
      </c>
      <c r="AB5" s="1">
        <f>'Services à renseigner'!E7</f>
        <v>0</v>
      </c>
      <c r="AC5" s="1">
        <f>'Services à renseigner'!D7</f>
        <v>1</v>
      </c>
      <c r="AD5" s="160">
        <f>10/3</f>
        <v>3.3333333333333335</v>
      </c>
      <c r="AE5" s="229"/>
    </row>
    <row r="6" spans="1:31" s="1" customFormat="1">
      <c r="A6" s="9" t="s">
        <v>222</v>
      </c>
      <c r="B6" s="185" t="e">
        <f>INDEX(Resultat_insectes_automne,1,B$2)*$AB6*$AC6*$AD6</f>
        <v>#N/A</v>
      </c>
      <c r="C6" s="185" t="e">
        <f t="shared" ref="C6:U6" si="3">INDEX(Resultat_insectes_automne,1,C$2)*$AB6*$AC6*10/7</f>
        <v>#N/A</v>
      </c>
      <c r="D6" s="187" t="e">
        <f t="shared" si="3"/>
        <v>#N/A</v>
      </c>
      <c r="E6" s="187" t="e">
        <f t="shared" si="3"/>
        <v>#N/A</v>
      </c>
      <c r="F6" s="187" t="e">
        <f t="shared" si="3"/>
        <v>#N/A</v>
      </c>
      <c r="G6" s="185" t="e">
        <f t="shared" si="3"/>
        <v>#N/A</v>
      </c>
      <c r="H6" s="185" t="e">
        <f t="shared" si="3"/>
        <v>#N/A</v>
      </c>
      <c r="I6" s="185" t="e">
        <f t="shared" si="3"/>
        <v>#N/A</v>
      </c>
      <c r="J6" s="185" t="e">
        <f t="shared" si="3"/>
        <v>#N/A</v>
      </c>
      <c r="K6" s="185" t="e">
        <f t="shared" si="3"/>
        <v>#N/A</v>
      </c>
      <c r="L6" s="185" t="e">
        <f t="shared" si="3"/>
        <v>#N/A</v>
      </c>
      <c r="M6" s="185" t="e">
        <f t="shared" si="3"/>
        <v>#N/A</v>
      </c>
      <c r="N6" s="185" t="e">
        <f t="shared" si="3"/>
        <v>#N/A</v>
      </c>
      <c r="O6" s="185" t="e">
        <f t="shared" si="3"/>
        <v>#N/A</v>
      </c>
      <c r="P6" s="185" t="e">
        <f t="shared" si="3"/>
        <v>#N/A</v>
      </c>
      <c r="Q6" s="185" t="e">
        <f t="shared" si="3"/>
        <v>#N/A</v>
      </c>
      <c r="R6" s="185" t="e">
        <f t="shared" si="3"/>
        <v>#N/A</v>
      </c>
      <c r="S6" s="185" t="e">
        <f t="shared" si="3"/>
        <v>#N/A</v>
      </c>
      <c r="T6" s="185" t="e">
        <f t="shared" si="3"/>
        <v>#N/A</v>
      </c>
      <c r="U6" s="185" t="e">
        <f t="shared" si="3"/>
        <v>#N/A</v>
      </c>
      <c r="V6" s="185" t="str">
        <f>IF(Espèces!W30="","0",INDEX(Resultat_insectes_automne,1,V$2)*$AB6*$AC6*10/7)</f>
        <v>0</v>
      </c>
      <c r="W6" s="186" t="e">
        <f>(C6*$F$91*C$15+E6*$G$91*E$15)/(C$15*$F$91+E$15*$G$91)*W$25*$AB6</f>
        <v>#N/A</v>
      </c>
      <c r="X6" s="186" t="e">
        <f>(K6*$G$81*K$15+L6*$F$81*L$15+J6*$H$81*J$15)/(K$15*$G$81+L$15*$F$81+J$15*$H$81)*X$25*$AB6</f>
        <v>#N/A</v>
      </c>
      <c r="Y6" s="186" t="e">
        <f>(B6*$C$81*B$15+E6*$D$81*E$15+D6*$B$81*D$15)/(B$15*$C$81+E$15*$D$81+D$15*$B$81)*Y$25*$AB6</f>
        <v>#N/A</v>
      </c>
      <c r="Z6" s="194" t="e">
        <f>(C6*$B$91*C$15+L6*$C$91*L$15+J6*$D$91*J$15)/(C$15*$B$91+L$15*$C$91+J$15*$D$91)*Z$25*$AB6</f>
        <v>#N/A</v>
      </c>
      <c r="AA6" s="1">
        <f>IF(SUM(B$22:V$22)=0,0,SUMPRODUCT($B$15:$V$15,$B$24:$V$24,$B6:$V6)/SUMPRODUCT($B$15:$V$15,$B$24:$V$24)*$AA$25)</f>
        <v>0</v>
      </c>
      <c r="AB6" s="1">
        <f>'Services à renseigner'!E5</f>
        <v>1</v>
      </c>
      <c r="AC6" s="1">
        <f>'Services à renseigner'!D5</f>
        <v>1</v>
      </c>
      <c r="AD6" s="160">
        <f>10/7</f>
        <v>1.4285714285714286</v>
      </c>
      <c r="AE6" s="227" t="s">
        <v>659</v>
      </c>
    </row>
    <row r="7" spans="1:31" s="1" customFormat="1">
      <c r="A7" s="13" t="s">
        <v>71</v>
      </c>
      <c r="B7" s="185" t="e">
        <f>INDEX(Resultat_auxiliaires,1,B$2)*$AB7*$AC7*$AD7</f>
        <v>#N/A</v>
      </c>
      <c r="C7" s="185" t="e">
        <f t="shared" ref="C7:M7" si="4">INDEX(Resultat_auxiliaires,1,C$2)*$AB7*$AC7*$AD4</f>
        <v>#N/A</v>
      </c>
      <c r="D7" s="187" t="e">
        <f t="shared" si="4"/>
        <v>#N/A</v>
      </c>
      <c r="E7" s="187" t="e">
        <f t="shared" si="4"/>
        <v>#N/A</v>
      </c>
      <c r="F7" s="187" t="e">
        <f t="shared" si="4"/>
        <v>#N/A</v>
      </c>
      <c r="G7" s="185" t="e">
        <f t="shared" si="4"/>
        <v>#N/A</v>
      </c>
      <c r="H7" s="185" t="e">
        <f t="shared" si="4"/>
        <v>#N/A</v>
      </c>
      <c r="I7" s="185" t="e">
        <f t="shared" si="4"/>
        <v>#N/A</v>
      </c>
      <c r="J7" s="185" t="e">
        <f t="shared" si="4"/>
        <v>#N/A</v>
      </c>
      <c r="K7" s="185" t="e">
        <f t="shared" si="4"/>
        <v>#N/A</v>
      </c>
      <c r="L7" s="185" t="e">
        <f t="shared" si="4"/>
        <v>#N/A</v>
      </c>
      <c r="M7" s="185" t="e">
        <f t="shared" si="4"/>
        <v>#N/A</v>
      </c>
      <c r="N7" s="185" t="e">
        <f t="shared" ref="N7:T7" si="5">INDEX(Resultat_auxiliaires,1,N$2)*$AB7*$AC7*$AD4</f>
        <v>#N/A</v>
      </c>
      <c r="O7" s="185" t="e">
        <f t="shared" si="5"/>
        <v>#N/A</v>
      </c>
      <c r="P7" s="185" t="e">
        <f t="shared" si="5"/>
        <v>#N/A</v>
      </c>
      <c r="Q7" s="185" t="e">
        <f t="shared" si="5"/>
        <v>#N/A</v>
      </c>
      <c r="R7" s="185" t="e">
        <f t="shared" si="5"/>
        <v>#N/A</v>
      </c>
      <c r="S7" s="185" t="e">
        <f t="shared" si="5"/>
        <v>#N/A</v>
      </c>
      <c r="T7" s="185" t="e">
        <f t="shared" si="5"/>
        <v>#N/A</v>
      </c>
      <c r="U7" s="185" t="e">
        <f t="shared" ref="U7" si="6">INDEX(Resultat_auxiliaires,1,U$2)*$AB7*$AC7*$AD4</f>
        <v>#N/A</v>
      </c>
      <c r="V7" s="185" t="str">
        <f>IF(Espèces!W30="","0",INDEX(Resultat_auxiliaires,1,V$2)*$AB7*$AC7*$AD4)</f>
        <v>0</v>
      </c>
      <c r="W7" s="188" t="e">
        <f>(C7*$F$91*C$15+E7*$G$91*E$15)/(C$15*$F$91+E$15*$G$91)*$AB7</f>
        <v>#N/A</v>
      </c>
      <c r="X7" s="188" t="e">
        <f>(K7*$G$81*K$15+L7*$F$81*L$15+J7*$H$81*J$15)/(K$15*$G$81+L$15*$F$81+J$15*$H$81)*$AB7</f>
        <v>#N/A</v>
      </c>
      <c r="Y7" s="188" t="e">
        <f>(B7*$C$81*B$15+E7*$D$81*E$15+D7*$B$81*D$15)/(B$15*$C$81+E$15*$D$81+D$15*$B$81)*$AB7</f>
        <v>#N/A</v>
      </c>
      <c r="Z7" s="188" t="e">
        <f>(C7*$B$91*C$15+L7*$C$91*L$15+J7*$D$91*J$15)/(C$15*$B$91+L$15*$C$91+J$15*$D$91)*$AB7</f>
        <v>#N/A</v>
      </c>
      <c r="AA7" s="1">
        <f>IF(SUM(B$22:V$22)=0,0,SUMPRODUCT($B$15:$V$15,$B$24:$V$24,$B7:$V7)/SUMPRODUCT($B$15:$V$15,$B$24:$V$24))</f>
        <v>0</v>
      </c>
      <c r="AB7" s="1">
        <f>'Services à renseigner'!E8</f>
        <v>0</v>
      </c>
      <c r="AC7" s="1">
        <f>'Services à renseigner'!D8</f>
        <v>1</v>
      </c>
      <c r="AD7" s="160">
        <f>10/5</f>
        <v>2</v>
      </c>
      <c r="AE7" s="227"/>
    </row>
    <row r="8" spans="1:31" s="1" customFormat="1">
      <c r="A8" s="9" t="s">
        <v>223</v>
      </c>
      <c r="B8" s="185" t="e">
        <f t="shared" ref="B8:U8" si="7">INDEX(Resultat_adventices_automne,1,B$2)*$AB8*$AC8*$AD8</f>
        <v>#N/A</v>
      </c>
      <c r="C8" s="185" t="e">
        <f t="shared" si="7"/>
        <v>#N/A</v>
      </c>
      <c r="D8" s="187" t="e">
        <f t="shared" si="7"/>
        <v>#N/A</v>
      </c>
      <c r="E8" s="187" t="e">
        <f t="shared" si="7"/>
        <v>#N/A</v>
      </c>
      <c r="F8" s="187" t="e">
        <f t="shared" si="7"/>
        <v>#N/A</v>
      </c>
      <c r="G8" s="185" t="e">
        <f t="shared" si="7"/>
        <v>#N/A</v>
      </c>
      <c r="H8" s="185" t="e">
        <f t="shared" si="7"/>
        <v>#N/A</v>
      </c>
      <c r="I8" s="185" t="e">
        <f t="shared" si="7"/>
        <v>#N/A</v>
      </c>
      <c r="J8" s="185" t="e">
        <f t="shared" si="7"/>
        <v>#N/A</v>
      </c>
      <c r="K8" s="185" t="e">
        <f t="shared" si="7"/>
        <v>#N/A</v>
      </c>
      <c r="L8" s="185" t="e">
        <f t="shared" si="7"/>
        <v>#N/A</v>
      </c>
      <c r="M8" s="185" t="e">
        <f t="shared" si="7"/>
        <v>#N/A</v>
      </c>
      <c r="N8" s="185" t="e">
        <f t="shared" si="7"/>
        <v>#N/A</v>
      </c>
      <c r="O8" s="185" t="e">
        <f t="shared" si="7"/>
        <v>#N/A</v>
      </c>
      <c r="P8" s="185" t="e">
        <f t="shared" si="7"/>
        <v>#N/A</v>
      </c>
      <c r="Q8" s="185" t="e">
        <f t="shared" si="7"/>
        <v>#N/A</v>
      </c>
      <c r="R8" s="185" t="e">
        <f t="shared" si="7"/>
        <v>#N/A</v>
      </c>
      <c r="S8" s="185" t="e">
        <f t="shared" si="7"/>
        <v>#N/A</v>
      </c>
      <c r="T8" s="185" t="e">
        <f t="shared" si="7"/>
        <v>#N/A</v>
      </c>
      <c r="U8" s="185" t="e">
        <f t="shared" si="7"/>
        <v>#N/A</v>
      </c>
      <c r="V8" s="185" t="str">
        <f>IF(Espèces!W30="","0",INDEX(Resultat_adventices_automne,1,V$2)*$AB8*$AC8*$AD8)</f>
        <v>0</v>
      </c>
      <c r="W8" s="186" t="e">
        <f>(C8*$F$91*C$15+E8*$G$91*E$15)/(C$15*$F$91+E$15*$G$91)*W$25*$AB8</f>
        <v>#N/A</v>
      </c>
      <c r="X8" s="186" t="e">
        <f>(K8*$G$81*K$15+L8*$F$81*L$15+J8*$H$81*J$15)/(K$15*$G$81+L$15*$F$81+J$15*$H$81)*X$25*$AB8</f>
        <v>#N/A</v>
      </c>
      <c r="Y8" s="186" t="e">
        <f>(B8*$C$81*B$15+E8*$D$81*E$15+D8*$B$81*D$15)/(B$15*$C$81+E$15*$D$81+D$15*$B$81)*Y$25*$AB8</f>
        <v>#N/A</v>
      </c>
      <c r="Z8" s="194" t="e">
        <f>(C8*$B$91*C$15+L8*$C$91*L$15+J8*$D$91*J$15)/(C$15*$B$91+L$15*$C$91+J$15*$D$91)*Z$25*$AB8</f>
        <v>#N/A</v>
      </c>
      <c r="AA8" s="1">
        <f>IF(SUM(B$22:V$22)=0,0,SUMPRODUCT($B$15:$V$15,$B$24:$V$24,$B8:$V8)/SUMPRODUCT($B$15:$V$15,$B$24:$V$24)*$AA$25)</f>
        <v>0</v>
      </c>
      <c r="AB8" s="1">
        <f>'Services à renseigner'!E4</f>
        <v>1</v>
      </c>
      <c r="AC8" s="1">
        <f>'Services à renseigner'!D4</f>
        <v>1</v>
      </c>
      <c r="AD8" s="160">
        <f>10/7</f>
        <v>1.4285714285714286</v>
      </c>
      <c r="AE8" s="227" t="s">
        <v>659</v>
      </c>
    </row>
    <row r="9" spans="1:31" s="1" customFormat="1">
      <c r="A9" s="13" t="s">
        <v>225</v>
      </c>
      <c r="B9" s="185" t="e">
        <f t="shared" ref="B9:U9" si="8">INDEX(Resultat_adventices_printemps,1,B$2)*$AB9*$AC9*$AD9</f>
        <v>#N/A</v>
      </c>
      <c r="C9" s="185" t="e">
        <f t="shared" si="8"/>
        <v>#N/A</v>
      </c>
      <c r="D9" s="187" t="e">
        <f t="shared" si="8"/>
        <v>#N/A</v>
      </c>
      <c r="E9" s="187" t="e">
        <f t="shared" si="8"/>
        <v>#N/A</v>
      </c>
      <c r="F9" s="187" t="e">
        <f t="shared" si="8"/>
        <v>#N/A</v>
      </c>
      <c r="G9" s="185" t="e">
        <f t="shared" si="8"/>
        <v>#N/A</v>
      </c>
      <c r="H9" s="185" t="e">
        <f t="shared" si="8"/>
        <v>#N/A</v>
      </c>
      <c r="I9" s="185" t="e">
        <f t="shared" si="8"/>
        <v>#N/A</v>
      </c>
      <c r="J9" s="185" t="e">
        <f t="shared" si="8"/>
        <v>#N/A</v>
      </c>
      <c r="K9" s="185" t="e">
        <f t="shared" si="8"/>
        <v>#N/A</v>
      </c>
      <c r="L9" s="185" t="e">
        <f t="shared" si="8"/>
        <v>#N/A</v>
      </c>
      <c r="M9" s="185" t="e">
        <f t="shared" si="8"/>
        <v>#N/A</v>
      </c>
      <c r="N9" s="185" t="e">
        <f t="shared" si="8"/>
        <v>#N/A</v>
      </c>
      <c r="O9" s="185" t="e">
        <f t="shared" si="8"/>
        <v>#N/A</v>
      </c>
      <c r="P9" s="185" t="e">
        <f t="shared" si="8"/>
        <v>#N/A</v>
      </c>
      <c r="Q9" s="185" t="e">
        <f t="shared" si="8"/>
        <v>#N/A</v>
      </c>
      <c r="R9" s="185" t="e">
        <f t="shared" si="8"/>
        <v>#N/A</v>
      </c>
      <c r="S9" s="185" t="e">
        <f t="shared" si="8"/>
        <v>#N/A</v>
      </c>
      <c r="T9" s="185" t="e">
        <f t="shared" si="8"/>
        <v>#N/A</v>
      </c>
      <c r="U9" s="185" t="e">
        <f t="shared" si="8"/>
        <v>#N/A</v>
      </c>
      <c r="V9" s="185" t="str">
        <f>IF(Espèces!W30="","0",INDEX(Resultat_adventices_printemps,1,V$2)*$AB9*$AC9*$AD9)</f>
        <v>0</v>
      </c>
      <c r="W9" s="186" t="e">
        <f>(C9*$F$91*C$15+E9*$G$91*E$15)/(C$15*$F$91+E$15*$G$91)*W$25*$AB9</f>
        <v>#N/A</v>
      </c>
      <c r="X9" s="186" t="e">
        <f>(K9*$G$81*K$15+L9*$F$81*L$15+J9*$H$81*J$15)/(K$15*$G$81+L$15*$F$81+J$15*$H$81)*X$25*$AB9</f>
        <v>#N/A</v>
      </c>
      <c r="Y9" s="186" t="e">
        <f>(B9*$C$81*B$15+E9*$D$81*E$15+D9*$B$81*D$15)/(B$15*$C$81+E$15*$D$81+D$15*$B$81)*Y$25*$AB9</f>
        <v>#N/A</v>
      </c>
      <c r="Z9" s="194" t="e">
        <f>(C9*$B$91*C$15+L9*$C$91*L$15+J9*$D$91*J$15)/(C$15*$B$91+L$15*$C$91+J$15*$D$91)*Z$25*$AB9</f>
        <v>#N/A</v>
      </c>
      <c r="AA9" s="1">
        <f>IF(SUM(B$22:V$22)=0,0,SUMPRODUCT($B$15:$V$15,$B$24:$V$24,$B9:$V9)/SUMPRODUCT($B$15:$V$15,$B$24:$V$24)*$AA$25)</f>
        <v>0</v>
      </c>
      <c r="AB9" s="1">
        <f>'Services à renseigner'!E9</f>
        <v>0</v>
      </c>
      <c r="AC9" s="1">
        <f>'Services à renseigner'!D9</f>
        <v>1</v>
      </c>
      <c r="AD9" s="160">
        <f>10/5</f>
        <v>2</v>
      </c>
      <c r="AE9" s="227" t="s">
        <v>659</v>
      </c>
    </row>
    <row r="10" spans="1:31" s="1" customFormat="1">
      <c r="A10" s="13" t="s">
        <v>226</v>
      </c>
      <c r="B10" s="185" t="e">
        <f t="shared" ref="B10:U10" si="9">IF(INDEX(Resultat_orobanche,1,B$2)=1,1,10)*$AB10*$AC10</f>
        <v>#N/A</v>
      </c>
      <c r="C10" s="185" t="e">
        <f t="shared" si="9"/>
        <v>#N/A</v>
      </c>
      <c r="D10" s="187" t="e">
        <f t="shared" si="9"/>
        <v>#N/A</v>
      </c>
      <c r="E10" s="187" t="e">
        <f t="shared" si="9"/>
        <v>#N/A</v>
      </c>
      <c r="F10" s="187" t="e">
        <f t="shared" si="9"/>
        <v>#N/A</v>
      </c>
      <c r="G10" s="185" t="e">
        <f t="shared" si="9"/>
        <v>#N/A</v>
      </c>
      <c r="H10" s="185" t="e">
        <f t="shared" si="9"/>
        <v>#N/A</v>
      </c>
      <c r="I10" s="185" t="e">
        <f t="shared" si="9"/>
        <v>#N/A</v>
      </c>
      <c r="J10" s="185" t="e">
        <f t="shared" si="9"/>
        <v>#N/A</v>
      </c>
      <c r="K10" s="185" t="e">
        <f t="shared" si="9"/>
        <v>#N/A</v>
      </c>
      <c r="L10" s="185" t="e">
        <f t="shared" si="9"/>
        <v>#N/A</v>
      </c>
      <c r="M10" s="185" t="e">
        <f t="shared" si="9"/>
        <v>#N/A</v>
      </c>
      <c r="N10" s="185" t="e">
        <f t="shared" si="9"/>
        <v>#N/A</v>
      </c>
      <c r="O10" s="185" t="e">
        <f t="shared" si="9"/>
        <v>#N/A</v>
      </c>
      <c r="P10" s="185" t="e">
        <f t="shared" si="9"/>
        <v>#N/A</v>
      </c>
      <c r="Q10" s="185" t="e">
        <f t="shared" si="9"/>
        <v>#N/A</v>
      </c>
      <c r="R10" s="185" t="e">
        <f t="shared" si="9"/>
        <v>#N/A</v>
      </c>
      <c r="S10" s="185" t="e">
        <f t="shared" si="9"/>
        <v>#N/A</v>
      </c>
      <c r="T10" s="185" t="e">
        <f t="shared" si="9"/>
        <v>#N/A</v>
      </c>
      <c r="U10" s="185" t="e">
        <f t="shared" si="9"/>
        <v>#N/A</v>
      </c>
      <c r="V10" s="185" t="str">
        <f>IF(Espèces!W30="","0",IF(INDEX(Resultat_orobanche,1,V$2)=1,1,10)*$AB10*$AC10)</f>
        <v>0</v>
      </c>
      <c r="W10" s="188" t="e">
        <f>(C10*$F$91*C$15+E10*$G$91*E$15)/(C$15*$F$91+E$15*$G$91)*$AB10</f>
        <v>#N/A</v>
      </c>
      <c r="X10" s="188" t="e">
        <f>(K10*$G$81*K$15+L10*$F$81*L$15+J10*$H$81*J$15)/(K$15*$G$81+L$15*$F$81+J$15*$H$81)*$AB10</f>
        <v>#N/A</v>
      </c>
      <c r="Y10" s="188" t="e">
        <f>(B10*$C$81*B$15+E10*$D$81*E$15+D10*$B$81*D$15)/(B$15*$C$81+E$15*$D$81+D$15*$B$81)*$AB10</f>
        <v>#N/A</v>
      </c>
      <c r="Z10" s="188" t="e">
        <f>(C10*$B$91*C$15+L10*$C$91*L$15+J10*$D$91*J$15)/(C$15*$B$91+L$15*$C$91+J$15*$D$91)*$AB10</f>
        <v>#N/A</v>
      </c>
      <c r="AA10" s="1">
        <f>IF(SUM(B$22:V$22)=0,0,SUMPRODUCT($B$15:$V$15,$B$24:$V$24,$B10:$V10)/SUMPRODUCT($B$15:$V$15,$B$24:$V$24))</f>
        <v>0</v>
      </c>
      <c r="AB10" s="1">
        <f>'Services à renseigner'!E10</f>
        <v>0</v>
      </c>
      <c r="AC10" s="1">
        <f>'Services à renseigner'!D10</f>
        <v>1</v>
      </c>
      <c r="AD10" s="1" t="s">
        <v>433</v>
      </c>
    </row>
    <row r="11" spans="1:31" s="1" customFormat="1">
      <c r="A11" s="13" t="s">
        <v>227</v>
      </c>
      <c r="B11" s="185" t="e">
        <f t="shared" ref="B11:U11" si="10">IF(INDEX(Resultat_recolte_grain_automne,1,B$2)=1,1,10)*$AB11*$AC11</f>
        <v>#N/A</v>
      </c>
      <c r="C11" s="185" t="e">
        <f t="shared" si="10"/>
        <v>#N/A</v>
      </c>
      <c r="D11" s="187" t="e">
        <f t="shared" si="10"/>
        <v>#N/A</v>
      </c>
      <c r="E11" s="187" t="e">
        <f t="shared" si="10"/>
        <v>#N/A</v>
      </c>
      <c r="F11" s="187" t="e">
        <f t="shared" si="10"/>
        <v>#N/A</v>
      </c>
      <c r="G11" s="185" t="e">
        <f t="shared" si="10"/>
        <v>#N/A</v>
      </c>
      <c r="H11" s="185" t="e">
        <f t="shared" si="10"/>
        <v>#N/A</v>
      </c>
      <c r="I11" s="185" t="e">
        <f t="shared" si="10"/>
        <v>#N/A</v>
      </c>
      <c r="J11" s="185" t="e">
        <f t="shared" si="10"/>
        <v>#N/A</v>
      </c>
      <c r="K11" s="185" t="e">
        <f t="shared" si="10"/>
        <v>#N/A</v>
      </c>
      <c r="L11" s="185" t="e">
        <f t="shared" si="10"/>
        <v>#N/A</v>
      </c>
      <c r="M11" s="185" t="e">
        <f t="shared" si="10"/>
        <v>#N/A</v>
      </c>
      <c r="N11" s="185" t="e">
        <f t="shared" si="10"/>
        <v>#N/A</v>
      </c>
      <c r="O11" s="185" t="e">
        <f t="shared" si="10"/>
        <v>#N/A</v>
      </c>
      <c r="P11" s="185" t="e">
        <f t="shared" si="10"/>
        <v>#N/A</v>
      </c>
      <c r="Q11" s="185" t="e">
        <f t="shared" si="10"/>
        <v>#N/A</v>
      </c>
      <c r="R11" s="185" t="e">
        <f t="shared" si="10"/>
        <v>#N/A</v>
      </c>
      <c r="S11" s="185" t="e">
        <f t="shared" si="10"/>
        <v>#N/A</v>
      </c>
      <c r="T11" s="185" t="e">
        <f t="shared" si="10"/>
        <v>#N/A</v>
      </c>
      <c r="U11" s="185" t="e">
        <f t="shared" si="10"/>
        <v>#N/A</v>
      </c>
      <c r="V11" s="185" t="str">
        <f>IF(Espèces!W30="","0",IF(INDEX(Resultat_recolte_grain_automne,1,V$2)=1,1,10)*$AB11*$AC11)</f>
        <v>0</v>
      </c>
      <c r="W11" s="188" t="e">
        <f>(C11*$F$91*C$15+E11*$G$91*E$15)/(C$15*$F$91+E$15*$G$91)*$AB11</f>
        <v>#N/A</v>
      </c>
      <c r="X11" s="188" t="e">
        <f>(K11*$G$81*K$15+L11*$F$81*L$15+J11*$H$81*J$15)/(K$15*$G$81+L$15*$F$81+J$15*$H$81)*$AB11</f>
        <v>#N/A</v>
      </c>
      <c r="Y11" s="188" t="e">
        <f>(B11*$C$81*B$15+E11*$D$81*E$15+D11*$B$81*D$15)/(B$15*$C$81+E$15*$D$81+D$15*$B$81)*$AB11</f>
        <v>#N/A</v>
      </c>
      <c r="Z11" s="188" t="e">
        <f>(C11*$B$91*C$15+L11*$C$91*L$15+J11*$D$91*J$15)/(C$15*$B$91+L$15*$C$91+J$15*$D$91)*$AB11</f>
        <v>#N/A</v>
      </c>
      <c r="AA11" s="1">
        <f>IF(SUM(B$22:V$22)=0,0,SUMPRODUCT($B$15:$V$15,$B$24:$V$24,$B11:$V11)/SUMPRODUCT($B$15:$V$15,$B$24:$V$24))</f>
        <v>0</v>
      </c>
      <c r="AB11" s="1">
        <f>'Services à renseigner'!E11</f>
        <v>0</v>
      </c>
      <c r="AC11" s="1">
        <f>'Services à renseigner'!D11</f>
        <v>1</v>
      </c>
      <c r="AD11" s="1" t="s">
        <v>433</v>
      </c>
      <c r="AE11" s="227"/>
    </row>
    <row r="12" spans="1:31" s="1" customFormat="1">
      <c r="A12" s="13" t="s">
        <v>228</v>
      </c>
      <c r="B12" s="185" t="e">
        <f t="shared" ref="B12:U12" si="11">IF(INDEX(Resultat_recolte_grain_ete,1,B$2)=1,1,10)*$AB12*$AC12</f>
        <v>#N/A</v>
      </c>
      <c r="C12" s="185" t="e">
        <f t="shared" si="11"/>
        <v>#N/A</v>
      </c>
      <c r="D12" s="187" t="e">
        <f t="shared" si="11"/>
        <v>#N/A</v>
      </c>
      <c r="E12" s="187" t="e">
        <f t="shared" si="11"/>
        <v>#N/A</v>
      </c>
      <c r="F12" s="187" t="e">
        <f t="shared" si="11"/>
        <v>#N/A</v>
      </c>
      <c r="G12" s="185" t="e">
        <f t="shared" si="11"/>
        <v>#N/A</v>
      </c>
      <c r="H12" s="185" t="e">
        <f t="shared" si="11"/>
        <v>#N/A</v>
      </c>
      <c r="I12" s="185" t="e">
        <f t="shared" si="11"/>
        <v>#N/A</v>
      </c>
      <c r="J12" s="185" t="e">
        <f t="shared" si="11"/>
        <v>#N/A</v>
      </c>
      <c r="K12" s="185" t="e">
        <f t="shared" si="11"/>
        <v>#N/A</v>
      </c>
      <c r="L12" s="185" t="e">
        <f t="shared" si="11"/>
        <v>#N/A</v>
      </c>
      <c r="M12" s="185" t="e">
        <f t="shared" si="11"/>
        <v>#N/A</v>
      </c>
      <c r="N12" s="185" t="e">
        <f t="shared" si="11"/>
        <v>#N/A</v>
      </c>
      <c r="O12" s="185" t="e">
        <f t="shared" si="11"/>
        <v>#N/A</v>
      </c>
      <c r="P12" s="185" t="e">
        <f t="shared" si="11"/>
        <v>#N/A</v>
      </c>
      <c r="Q12" s="185" t="e">
        <f t="shared" si="11"/>
        <v>#N/A</v>
      </c>
      <c r="R12" s="185" t="e">
        <f t="shared" si="11"/>
        <v>#N/A</v>
      </c>
      <c r="S12" s="185" t="e">
        <f t="shared" si="11"/>
        <v>#N/A</v>
      </c>
      <c r="T12" s="185" t="e">
        <f t="shared" si="11"/>
        <v>#N/A</v>
      </c>
      <c r="U12" s="185" t="e">
        <f t="shared" si="11"/>
        <v>#N/A</v>
      </c>
      <c r="V12" s="185" t="str">
        <f>IF(Espèces!W30="","0",IF(INDEX(Resultat_recolte_grain_ete,1,V$2)=1,1,10)*$AB12*$AC12)</f>
        <v>0</v>
      </c>
      <c r="W12" s="188" t="e">
        <f>(C12*$F$91*C$15+E12*$G$91*E$15)/(C$15*$F$91+E$15*$G$91)*$AB12</f>
        <v>#N/A</v>
      </c>
      <c r="X12" s="188" t="e">
        <f>(K12*$G$81*K$15+L12*$F$81*L$15+J12*$H$81*J$15)/(K$15*$G$81+L$15*$F$81+J$15*$H$81)*$AB12</f>
        <v>#N/A</v>
      </c>
      <c r="Y12" s="188" t="e">
        <f>(B12*$C$81*B$15+E12*$D$81*E$15+D12*$B$81*D$15)/(B$15*$C$81+E$15*$D$81+D$15*$B$81)*$AB12</f>
        <v>#N/A</v>
      </c>
      <c r="Z12" s="188" t="e">
        <f>(C12*$B$91*C$15+L12*$C$91*L$15+J12*$D$91*J$15)/(C$15*$B$91+L$15*$C$91+J$15*$D$91)*$AB12</f>
        <v>#N/A</v>
      </c>
      <c r="AA12" s="1">
        <f>IF(SUM(B$22:V$22)=0,0,SUMPRODUCT($B$15:$V$15,$B$24:$V$24,$B12:$V12)/SUMPRODUCT($B$15:$V$15,$B$24:$V$24))</f>
        <v>0</v>
      </c>
      <c r="AB12" s="1">
        <f>'Services à renseigner'!E12</f>
        <v>0</v>
      </c>
      <c r="AC12" s="1">
        <f>'Services à renseigner'!D12</f>
        <v>1</v>
      </c>
      <c r="AD12" s="1" t="s">
        <v>433</v>
      </c>
      <c r="AE12" s="227"/>
    </row>
    <row r="13" spans="1:31" s="1" customFormat="1">
      <c r="A13" s="13" t="s">
        <v>229</v>
      </c>
      <c r="B13" s="185" t="e">
        <f t="shared" ref="B13:U13" si="12">IF(INDEX(Resultat_recolte_fourrage,1,B$2)=1,1,10)*$AB13*$AC13</f>
        <v>#N/A</v>
      </c>
      <c r="C13" s="185" t="e">
        <f t="shared" si="12"/>
        <v>#N/A</v>
      </c>
      <c r="D13" s="185" t="e">
        <f t="shared" si="12"/>
        <v>#N/A</v>
      </c>
      <c r="E13" s="185" t="e">
        <f t="shared" si="12"/>
        <v>#N/A</v>
      </c>
      <c r="F13" s="185" t="e">
        <f t="shared" si="12"/>
        <v>#N/A</v>
      </c>
      <c r="G13" s="185" t="e">
        <f t="shared" si="12"/>
        <v>#N/A</v>
      </c>
      <c r="H13" s="185" t="e">
        <f t="shared" si="12"/>
        <v>#N/A</v>
      </c>
      <c r="I13" s="185" t="e">
        <f t="shared" si="12"/>
        <v>#N/A</v>
      </c>
      <c r="J13" s="185" t="e">
        <f t="shared" si="12"/>
        <v>#N/A</v>
      </c>
      <c r="K13" s="185" t="e">
        <f t="shared" si="12"/>
        <v>#N/A</v>
      </c>
      <c r="L13" s="185" t="e">
        <f t="shared" si="12"/>
        <v>#N/A</v>
      </c>
      <c r="M13" s="185" t="e">
        <f t="shared" si="12"/>
        <v>#N/A</v>
      </c>
      <c r="N13" s="185" t="e">
        <f t="shared" si="12"/>
        <v>#N/A</v>
      </c>
      <c r="O13" s="185" t="e">
        <f t="shared" si="12"/>
        <v>#N/A</v>
      </c>
      <c r="P13" s="185" t="e">
        <f t="shared" si="12"/>
        <v>#N/A</v>
      </c>
      <c r="Q13" s="185" t="e">
        <f t="shared" si="12"/>
        <v>#N/A</v>
      </c>
      <c r="R13" s="185" t="e">
        <f t="shared" si="12"/>
        <v>#N/A</v>
      </c>
      <c r="S13" s="185" t="e">
        <f t="shared" si="12"/>
        <v>#N/A</v>
      </c>
      <c r="T13" s="185" t="e">
        <f t="shared" si="12"/>
        <v>#N/A</v>
      </c>
      <c r="U13" s="185" t="e">
        <f t="shared" si="12"/>
        <v>#N/A</v>
      </c>
      <c r="V13" s="185" t="str">
        <f>IF(Espèces!W30="","0",IF(INDEX(Resultat_recolte_fourrage,1,V$2)=1,1,10)*$AB13*$AC13)</f>
        <v>0</v>
      </c>
      <c r="W13" s="188" t="e">
        <f>(C13*$F$91*C$15+E13*$G$91*E$15)/(C$15*$F$91+E$15*$G$91)*$AB13</f>
        <v>#N/A</v>
      </c>
      <c r="X13" s="188" t="e">
        <f>(K13*$G$81*K$15+L13*$F$81*L$15+J13*$H$81*J$15)/(K$15*$G$81+L$15*$F$81+J$15*$H$81)*$AB13</f>
        <v>#N/A</v>
      </c>
      <c r="Y13" s="188" t="e">
        <f>(B13*$C$81*B$15+E13*$D$81*E$15+D13*$B$81*D$15)/(B$15*$C$81+E$15*$D$81+D$15*$B$81)*$AB13</f>
        <v>#N/A</v>
      </c>
      <c r="Z13" s="188" t="e">
        <f>(C13*$B$91*C$15+L13*$C$91*L$15+J13*$D$91*J$15)/(C$15*$B$91+L$15*$C$91+J$15*$D$91)*$AB13</f>
        <v>#N/A</v>
      </c>
      <c r="AA13" s="1">
        <f>IF(SUM(B$22:V$22)=0,0,SUMPRODUCT($B$15:$V$15,$B$24:$V$24,$B13:$V13)/SUMPRODUCT($B$15:$V$15,$B$24:$V$24))</f>
        <v>0</v>
      </c>
      <c r="AB13" s="1">
        <f>'Services à renseigner'!E13</f>
        <v>0</v>
      </c>
      <c r="AC13" s="1">
        <f>'Services à renseigner'!D13</f>
        <v>1</v>
      </c>
      <c r="AD13" s="1" t="s">
        <v>433</v>
      </c>
      <c r="AE13" s="230"/>
    </row>
    <row r="14" spans="1:31" s="1" customFormat="1">
      <c r="A14" s="9" t="s">
        <v>212</v>
      </c>
      <c r="B14" s="185" t="e">
        <f t="shared" ref="B14:Z14" si="13">SUMPRODUCT(B4:B13,$AB4:$AB13)/SUM($AB4:$AB13)</f>
        <v>#N/A</v>
      </c>
      <c r="C14" s="185" t="e">
        <f t="shared" si="13"/>
        <v>#N/A</v>
      </c>
      <c r="D14" s="185" t="e">
        <f t="shared" si="13"/>
        <v>#N/A</v>
      </c>
      <c r="E14" s="185" t="e">
        <f t="shared" si="13"/>
        <v>#N/A</v>
      </c>
      <c r="F14" s="185" t="e">
        <f t="shared" si="13"/>
        <v>#N/A</v>
      </c>
      <c r="G14" s="185" t="e">
        <f t="shared" si="13"/>
        <v>#N/A</v>
      </c>
      <c r="H14" s="185" t="e">
        <f t="shared" si="13"/>
        <v>#N/A</v>
      </c>
      <c r="I14" s="185" t="e">
        <f t="shared" si="13"/>
        <v>#N/A</v>
      </c>
      <c r="J14" s="185" t="e">
        <f t="shared" si="13"/>
        <v>#N/A</v>
      </c>
      <c r="K14" s="185" t="e">
        <f t="shared" si="13"/>
        <v>#N/A</v>
      </c>
      <c r="L14" s="185" t="e">
        <f t="shared" si="13"/>
        <v>#N/A</v>
      </c>
      <c r="M14" s="185" t="e">
        <f t="shared" si="13"/>
        <v>#N/A</v>
      </c>
      <c r="N14" s="185" t="e">
        <f t="shared" ref="N14:U14" si="14">SUMPRODUCT(N4:N13,$AB4:$AB13)/SUM($AB4:$AB13)</f>
        <v>#N/A</v>
      </c>
      <c r="O14" s="185" t="e">
        <f t="shared" si="14"/>
        <v>#N/A</v>
      </c>
      <c r="P14" s="185" t="e">
        <f t="shared" si="14"/>
        <v>#N/A</v>
      </c>
      <c r="Q14" s="185" t="e">
        <f t="shared" si="14"/>
        <v>#N/A</v>
      </c>
      <c r="R14" s="185" t="e">
        <f t="shared" si="14"/>
        <v>#N/A</v>
      </c>
      <c r="S14" s="185" t="e">
        <f t="shared" si="14"/>
        <v>#N/A</v>
      </c>
      <c r="T14" s="185" t="e">
        <f t="shared" si="14"/>
        <v>#N/A</v>
      </c>
      <c r="U14" s="185" t="e">
        <f t="shared" si="14"/>
        <v>#N/A</v>
      </c>
      <c r="V14" s="185">
        <f>SUMPRODUCT(V4:V13,$AB4:$AB13)/SUM($AB4:$AB13)</f>
        <v>0</v>
      </c>
      <c r="W14" s="185" t="e">
        <f t="shared" si="13"/>
        <v>#N/A</v>
      </c>
      <c r="X14" s="185" t="e">
        <f t="shared" si="13"/>
        <v>#N/A</v>
      </c>
      <c r="Y14" s="185" t="e">
        <f t="shared" si="13"/>
        <v>#N/A</v>
      </c>
      <c r="Z14" s="195" t="e">
        <f t="shared" si="13"/>
        <v>#N/A</v>
      </c>
      <c r="AA14" s="47">
        <f>IF(AA24=0,0,SUMPRODUCT(AA4:AA13,$AB4:$AB13)/SUM($AB4:$AB13))</f>
        <v>0</v>
      </c>
      <c r="AE14" s="230"/>
    </row>
    <row r="15" spans="1:31" s="1" customFormat="1">
      <c r="A15" s="13" t="s">
        <v>25</v>
      </c>
      <c r="B15" s="185" t="e">
        <f t="shared" ref="B15:U15" si="15">INDEX(Resultat_biomasse,1,B$2)</f>
        <v>#N/A</v>
      </c>
      <c r="C15" s="185" t="e">
        <f t="shared" si="15"/>
        <v>#N/A</v>
      </c>
      <c r="D15" s="185" t="e">
        <f t="shared" si="15"/>
        <v>#N/A</v>
      </c>
      <c r="E15" s="185" t="e">
        <f t="shared" si="15"/>
        <v>#N/A</v>
      </c>
      <c r="F15" s="185" t="e">
        <f t="shared" si="15"/>
        <v>#N/A</v>
      </c>
      <c r="G15" s="185" t="e">
        <f t="shared" si="15"/>
        <v>#N/A</v>
      </c>
      <c r="H15" s="185" t="e">
        <f t="shared" si="15"/>
        <v>#N/A</v>
      </c>
      <c r="I15" s="185" t="e">
        <f t="shared" si="15"/>
        <v>#N/A</v>
      </c>
      <c r="J15" s="185" t="e">
        <f t="shared" si="15"/>
        <v>#N/A</v>
      </c>
      <c r="K15" s="185" t="e">
        <f t="shared" si="15"/>
        <v>#N/A</v>
      </c>
      <c r="L15" s="185" t="e">
        <f t="shared" si="15"/>
        <v>#N/A</v>
      </c>
      <c r="M15" s="185" t="e">
        <f t="shared" si="15"/>
        <v>#N/A</v>
      </c>
      <c r="N15" s="185" t="e">
        <f t="shared" si="15"/>
        <v>#N/A</v>
      </c>
      <c r="O15" s="185" t="e">
        <f t="shared" si="15"/>
        <v>#N/A</v>
      </c>
      <c r="P15" s="185" t="e">
        <f t="shared" si="15"/>
        <v>#N/A</v>
      </c>
      <c r="Q15" s="185" t="e">
        <f t="shared" si="15"/>
        <v>#N/A</v>
      </c>
      <c r="R15" s="185" t="e">
        <f t="shared" si="15"/>
        <v>#N/A</v>
      </c>
      <c r="S15" s="185" t="e">
        <f t="shared" si="15"/>
        <v>#N/A</v>
      </c>
      <c r="T15" s="185" t="e">
        <f t="shared" si="15"/>
        <v>#N/A</v>
      </c>
      <c r="U15" s="185" t="e">
        <f t="shared" si="15"/>
        <v>#N/A</v>
      </c>
      <c r="V15" s="185" t="str">
        <f>IF(Espèces!W30="","0",INDEX(Resultat_biomasse,1,V$2))</f>
        <v>0</v>
      </c>
      <c r="W15" s="186" t="e">
        <f>(C15*$F$91*C$15+E15*$G$91*E$15)/(C$15*$F$91+E$15*$G$91)*W$25</f>
        <v>#N/A</v>
      </c>
      <c r="X15" s="186" t="e">
        <f>(K15*$G$81*K$15+L15*$F$81*L$15+J15*$H$81*J$15)/(K$15*$G$81+L$15*$F$81+J$15*$H$81)*X$25</f>
        <v>#N/A</v>
      </c>
      <c r="Y15" s="186" t="e">
        <f>(B15*$C$81*B$15+E15*$D$81*E$15+D15*$B$81*D$15)/(B$15*$C$81+E$15*$D$81+D$15*$B$81)*Y$25</f>
        <v>#N/A</v>
      </c>
      <c r="Z15" s="194" t="e">
        <f>(C15*$B$91*C$15+L15*$C$91*L$15+J15*$D$91*J$15)/(C$15*$B$91+L$15*$C$91+J$15*$D$91)*Z$25</f>
        <v>#N/A</v>
      </c>
      <c r="AA15" s="1" t="str">
        <f>IF(SUM(B$22:V$22)=0,"",(SUMPRODUCT($B$15:$V$15,$B$24:$V$24,$B15:$V15)/SUMPRODUCT($B$15:$V$15,$B$24:$V$24)*$AA$25))</f>
        <v/>
      </c>
    </row>
    <row r="16" spans="1:31" s="1" customFormat="1">
      <c r="A16" s="13" t="s">
        <v>438</v>
      </c>
      <c r="B16" s="185" t="e">
        <f t="shared" ref="B16:U16" si="16">INDEX(Resultat_destruction_PS,1,B$2)</f>
        <v>#N/A</v>
      </c>
      <c r="C16" s="185" t="e">
        <f t="shared" si="16"/>
        <v>#N/A</v>
      </c>
      <c r="D16" s="185" t="e">
        <f t="shared" si="16"/>
        <v>#N/A</v>
      </c>
      <c r="E16" s="185" t="e">
        <f t="shared" si="16"/>
        <v>#N/A</v>
      </c>
      <c r="F16" s="185" t="e">
        <f t="shared" si="16"/>
        <v>#N/A</v>
      </c>
      <c r="G16" s="185" t="e">
        <f t="shared" si="16"/>
        <v>#N/A</v>
      </c>
      <c r="H16" s="185" t="e">
        <f t="shared" si="16"/>
        <v>#N/A</v>
      </c>
      <c r="I16" s="185" t="e">
        <f t="shared" si="16"/>
        <v>#N/A</v>
      </c>
      <c r="J16" s="185" t="e">
        <f t="shared" si="16"/>
        <v>#N/A</v>
      </c>
      <c r="K16" s="185" t="e">
        <f t="shared" si="16"/>
        <v>#N/A</v>
      </c>
      <c r="L16" s="185" t="e">
        <f t="shared" si="16"/>
        <v>#N/A</v>
      </c>
      <c r="M16" s="185" t="e">
        <f t="shared" si="16"/>
        <v>#N/A</v>
      </c>
      <c r="N16" s="185" t="e">
        <f t="shared" si="16"/>
        <v>#N/A</v>
      </c>
      <c r="O16" s="185" t="e">
        <f t="shared" si="16"/>
        <v>#N/A</v>
      </c>
      <c r="P16" s="185" t="e">
        <f t="shared" si="16"/>
        <v>#N/A</v>
      </c>
      <c r="Q16" s="185" t="e">
        <f t="shared" si="16"/>
        <v>#N/A</v>
      </c>
      <c r="R16" s="185" t="e">
        <f t="shared" si="16"/>
        <v>#N/A</v>
      </c>
      <c r="S16" s="185" t="e">
        <f t="shared" si="16"/>
        <v>#N/A</v>
      </c>
      <c r="T16" s="185" t="e">
        <f t="shared" si="16"/>
        <v>#N/A</v>
      </c>
      <c r="U16" s="185" t="e">
        <f t="shared" si="16"/>
        <v>#N/A</v>
      </c>
      <c r="V16" s="185">
        <f>IF(Espèces!W30="",0,INDEX(Resultat_destruction_PS,1,V$2))</f>
        <v>0</v>
      </c>
      <c r="W16" s="186" t="e">
        <f>MIN(C16,E16)</f>
        <v>#N/A</v>
      </c>
      <c r="X16" s="186" t="e">
        <f>MIN(L16,K16,J16)</f>
        <v>#N/A</v>
      </c>
      <c r="Y16" s="186" t="e">
        <f>MIN(D16,B16,E16)</f>
        <v>#N/A</v>
      </c>
      <c r="Z16" s="186" t="e">
        <f>MIN(C16,L16,J16)</f>
        <v>#N/A</v>
      </c>
      <c r="AA16" s="47" t="str">
        <f t="array" ref="AA16">IF(SUM(B22:V22)=0,"",MIN(IF(B22:V22&lt;&gt;0,B16:V16,"")))</f>
        <v/>
      </c>
    </row>
    <row r="17" spans="1:32" s="1" customFormat="1">
      <c r="A17" s="13" t="s">
        <v>72</v>
      </c>
      <c r="B17" s="185" t="e">
        <f t="shared" ref="B17:U17" si="17">INDEX(Resultat_competition_automne,1,B$2)</f>
        <v>#N/A</v>
      </c>
      <c r="C17" s="185" t="e">
        <f t="shared" si="17"/>
        <v>#N/A</v>
      </c>
      <c r="D17" s="185" t="e">
        <f t="shared" si="17"/>
        <v>#N/A</v>
      </c>
      <c r="E17" s="185" t="e">
        <f t="shared" si="17"/>
        <v>#N/A</v>
      </c>
      <c r="F17" s="185" t="e">
        <f t="shared" si="17"/>
        <v>#N/A</v>
      </c>
      <c r="G17" s="185" t="e">
        <f t="shared" si="17"/>
        <v>#N/A</v>
      </c>
      <c r="H17" s="185" t="e">
        <f t="shared" si="17"/>
        <v>#N/A</v>
      </c>
      <c r="I17" s="185" t="e">
        <f t="shared" si="17"/>
        <v>#N/A</v>
      </c>
      <c r="J17" s="185" t="e">
        <f t="shared" si="17"/>
        <v>#N/A</v>
      </c>
      <c r="K17" s="185" t="e">
        <f t="shared" si="17"/>
        <v>#N/A</v>
      </c>
      <c r="L17" s="185" t="e">
        <f t="shared" si="17"/>
        <v>#N/A</v>
      </c>
      <c r="M17" s="185" t="e">
        <f t="shared" si="17"/>
        <v>#N/A</v>
      </c>
      <c r="N17" s="185" t="e">
        <f t="shared" si="17"/>
        <v>#N/A</v>
      </c>
      <c r="O17" s="185" t="e">
        <f t="shared" si="17"/>
        <v>#N/A</v>
      </c>
      <c r="P17" s="185" t="e">
        <f t="shared" si="17"/>
        <v>#N/A</v>
      </c>
      <c r="Q17" s="185" t="e">
        <f t="shared" si="17"/>
        <v>#N/A</v>
      </c>
      <c r="R17" s="185" t="e">
        <f t="shared" si="17"/>
        <v>#N/A</v>
      </c>
      <c r="S17" s="185" t="e">
        <f t="shared" si="17"/>
        <v>#N/A</v>
      </c>
      <c r="T17" s="185" t="e">
        <f t="shared" si="17"/>
        <v>#N/A</v>
      </c>
      <c r="U17" s="185" t="e">
        <f t="shared" si="17"/>
        <v>#N/A</v>
      </c>
      <c r="V17" s="185" t="str">
        <f>IF(Espèces!W30="","0",INDEX(Resultat_competition_automne,1,V$2))</f>
        <v>0</v>
      </c>
      <c r="W17" s="186" t="e">
        <f>(C17*$F$91*C$15+E17*$G$91*E$15)/(C$15*$F$91+E$15*$G$91)*W$25</f>
        <v>#N/A</v>
      </c>
      <c r="X17" s="186" t="e">
        <f>(K17*$G$81*K$15+L17*$F$81*L$15+J17*$H$81*J$15)/(K$15*$G$81+L$15*$F$81+J$15*$H$81)*X$25</f>
        <v>#N/A</v>
      </c>
      <c r="Y17" s="186" t="e">
        <f>(B17*$C$81*B$15+E17*$D$81*E$15+D17*$B$81*D$15)/(B$15*$C$81+E$15*$D$81+D$15*$B$81)*Y$25</f>
        <v>#N/A</v>
      </c>
      <c r="Z17" s="194" t="e">
        <f>(C17*$B$91*C$15+L17*$C$91*L$15+J17*$D$91*J$15)/(C$15*$B$91+L$15*$C$91+J$15*$D$91)*Z$25</f>
        <v>#N/A</v>
      </c>
      <c r="AA17" s="1" t="str">
        <f>IF(SUM(B22:V22)=0,"",(SUMPRODUCT($B$15:$V$15,$B$24:$V$24,$B17:$V17)/SUMPRODUCT($B$15:$V$15,$B$24:$V$24)))</f>
        <v/>
      </c>
    </row>
    <row r="18" spans="1:32" s="1" customFormat="1">
      <c r="A18" s="13" t="s">
        <v>517</v>
      </c>
      <c r="B18" s="185" t="str">
        <f t="shared" ref="B18:V18" si="18">INDEX(Amplification_maladies_PS,1,B$2+1)</f>
        <v>-</v>
      </c>
      <c r="C18" s="185" t="str">
        <f t="shared" si="18"/>
        <v>-</v>
      </c>
      <c r="D18" s="185" t="str">
        <f t="shared" si="18"/>
        <v>Sclerot.</v>
      </c>
      <c r="E18" s="185" t="str">
        <f t="shared" si="18"/>
        <v>-</v>
      </c>
      <c r="F18" s="185" t="str">
        <f t="shared" si="18"/>
        <v>Sclerot.</v>
      </c>
      <c r="G18" s="185" t="str">
        <f t="shared" si="18"/>
        <v>-</v>
      </c>
      <c r="H18" s="185" t="str">
        <f t="shared" si="18"/>
        <v>Sclerot.</v>
      </c>
      <c r="I18" s="185" t="str">
        <f t="shared" si="18"/>
        <v>-</v>
      </c>
      <c r="J18" s="185" t="str">
        <f t="shared" si="18"/>
        <v>-</v>
      </c>
      <c r="K18" s="185" t="str">
        <f t="shared" si="18"/>
        <v>Sclerot.</v>
      </c>
      <c r="L18" s="185" t="str">
        <f t="shared" si="18"/>
        <v xml:space="preserve">Sclerot. </v>
      </c>
      <c r="M18" s="185" t="str">
        <f t="shared" si="18"/>
        <v>Sclérot.</v>
      </c>
      <c r="N18" s="185" t="str">
        <f t="shared" si="18"/>
        <v>Aphano. Sclerot.</v>
      </c>
      <c r="O18" s="185" t="str">
        <f t="shared" si="18"/>
        <v>Aphano. Sclerot.</v>
      </c>
      <c r="P18" s="185" t="str">
        <f t="shared" si="18"/>
        <v>-</v>
      </c>
      <c r="Q18" s="185" t="str">
        <f t="shared" si="18"/>
        <v>Sclerot.</v>
      </c>
      <c r="R18" s="185" t="str">
        <f t="shared" si="18"/>
        <v>-</v>
      </c>
      <c r="S18" s="185" t="str">
        <f t="shared" si="18"/>
        <v>-</v>
      </c>
      <c r="T18" s="185" t="str">
        <f t="shared" si="18"/>
        <v>Aphano. Sclerot.</v>
      </c>
      <c r="U18" s="185" t="str">
        <f t="shared" si="18"/>
        <v>Aphano. Sclerot.</v>
      </c>
      <c r="V18" s="185">
        <f t="shared" si="18"/>
        <v>0</v>
      </c>
      <c r="W18" s="185" t="s">
        <v>719</v>
      </c>
      <c r="X18" s="232" t="s">
        <v>730</v>
      </c>
      <c r="Y18" s="185" t="s">
        <v>719</v>
      </c>
      <c r="Z18" s="232" t="s">
        <v>730</v>
      </c>
      <c r="AA18" s="96" t="str">
        <f>Amplification_maladies_melange</f>
        <v/>
      </c>
    </row>
    <row r="19" spans="1:32" s="1" customFormat="1">
      <c r="A19" s="13" t="s">
        <v>521</v>
      </c>
      <c r="B19" s="132">
        <f t="shared" ref="B19:V19" si="19">INDEX(Cout_semences,1,B$2+1)</f>
        <v>20</v>
      </c>
      <c r="C19" s="132">
        <f t="shared" si="19"/>
        <v>70</v>
      </c>
      <c r="D19" s="132">
        <f t="shared" si="19"/>
        <v>20</v>
      </c>
      <c r="E19" s="132" t="str">
        <f t="shared" si="19"/>
        <v>50 €</v>
      </c>
      <c r="F19" s="132">
        <f t="shared" si="19"/>
        <v>35</v>
      </c>
      <c r="G19" s="132">
        <f t="shared" si="19"/>
        <v>65</v>
      </c>
      <c r="H19" s="132">
        <f t="shared" si="19"/>
        <v>55</v>
      </c>
      <c r="I19" s="132">
        <f t="shared" si="19"/>
        <v>20</v>
      </c>
      <c r="J19" s="132">
        <f t="shared" si="19"/>
        <v>10</v>
      </c>
      <c r="K19" s="132">
        <f t="shared" si="19"/>
        <v>20</v>
      </c>
      <c r="L19" s="132">
        <f t="shared" si="19"/>
        <v>30</v>
      </c>
      <c r="M19" s="132">
        <f t="shared" si="19"/>
        <v>30</v>
      </c>
      <c r="N19" s="132">
        <f t="shared" si="19"/>
        <v>100</v>
      </c>
      <c r="O19" s="132">
        <f t="shared" si="19"/>
        <v>100</v>
      </c>
      <c r="P19" s="132">
        <f t="shared" si="19"/>
        <v>80</v>
      </c>
      <c r="Q19" s="132">
        <f t="shared" si="19"/>
        <v>20</v>
      </c>
      <c r="R19" s="132">
        <f t="shared" si="19"/>
        <v>35</v>
      </c>
      <c r="S19" s="132">
        <f t="shared" si="19"/>
        <v>45</v>
      </c>
      <c r="T19" s="132">
        <f t="shared" si="19"/>
        <v>55</v>
      </c>
      <c r="U19" s="132">
        <f t="shared" si="19"/>
        <v>85</v>
      </c>
      <c r="V19" s="132">
        <f t="shared" si="19"/>
        <v>0</v>
      </c>
      <c r="W19" s="196">
        <f>F94</f>
        <v>45.166666666666664</v>
      </c>
      <c r="X19" s="196">
        <f>F84</f>
        <v>37.5</v>
      </c>
      <c r="Y19" s="196">
        <f>B84</f>
        <v>60.879629629629633</v>
      </c>
      <c r="Z19" s="196">
        <f>B94</f>
        <v>51.666666666666664</v>
      </c>
      <c r="AA19" s="97" t="str">
        <f>IF(SUM(B22:V22)=0,"",SUMPRODUCT(B19:V19,B24:V24))</f>
        <v/>
      </c>
    </row>
    <row r="20" spans="1:32" s="1" customFormat="1">
      <c r="A20" s="13" t="s">
        <v>519</v>
      </c>
      <c r="B20" s="133">
        <f t="shared" ref="B20:V20" si="20">INDEX(Densite_semis,1,B$2+1)</f>
        <v>65</v>
      </c>
      <c r="C20" s="133">
        <f t="shared" si="20"/>
        <v>30</v>
      </c>
      <c r="D20" s="133">
        <f t="shared" si="20"/>
        <v>3</v>
      </c>
      <c r="E20" s="133">
        <f t="shared" si="20"/>
        <v>27</v>
      </c>
      <c r="F20" s="133">
        <f t="shared" si="20"/>
        <v>105</v>
      </c>
      <c r="G20" s="133">
        <f t="shared" si="20"/>
        <v>36</v>
      </c>
      <c r="H20" s="133">
        <f t="shared" si="20"/>
        <v>36</v>
      </c>
      <c r="I20" s="133">
        <f t="shared" si="20"/>
        <v>16</v>
      </c>
      <c r="J20" s="133">
        <f t="shared" si="20"/>
        <v>17</v>
      </c>
      <c r="K20" s="133">
        <f t="shared" si="20"/>
        <v>6</v>
      </c>
      <c r="L20" s="133">
        <f t="shared" si="20"/>
        <v>9</v>
      </c>
      <c r="M20" s="133">
        <f t="shared" si="20"/>
        <v>7</v>
      </c>
      <c r="N20" s="133">
        <f t="shared" si="20"/>
        <v>71</v>
      </c>
      <c r="O20" s="133">
        <f t="shared" si="20"/>
        <v>125</v>
      </c>
      <c r="P20" s="133">
        <f t="shared" si="20"/>
        <v>30</v>
      </c>
      <c r="Q20" s="133">
        <f t="shared" si="20"/>
        <v>25</v>
      </c>
      <c r="R20" s="133">
        <f t="shared" si="20"/>
        <v>21</v>
      </c>
      <c r="S20" s="133">
        <f t="shared" si="20"/>
        <v>4</v>
      </c>
      <c r="T20" s="133">
        <f t="shared" si="20"/>
        <v>33</v>
      </c>
      <c r="U20" s="133">
        <f t="shared" si="20"/>
        <v>36</v>
      </c>
      <c r="V20" s="133">
        <f t="shared" si="20"/>
        <v>0</v>
      </c>
      <c r="W20" s="439">
        <f>F95</f>
        <v>71</v>
      </c>
      <c r="X20" s="439">
        <f>F85</f>
        <v>20</v>
      </c>
      <c r="Y20" s="439">
        <f>B85</f>
        <v>35</v>
      </c>
      <c r="Z20" s="439">
        <f>B95</f>
        <v>66</v>
      </c>
      <c r="AA20" s="96" t="str">
        <f>IF(SUM(B22:V22)=0,"",(SUMPRODUCT($B$24:$V$24,$B20:$V20)))</f>
        <v/>
      </c>
    </row>
    <row r="21" spans="1:32" s="1" customFormat="1">
      <c r="A21" s="13" t="s">
        <v>297</v>
      </c>
      <c r="B21" s="133">
        <f t="shared" ref="B21:N21" si="21">INDEX(Resistance_herbicide,1,B$2+1)</f>
        <v>1</v>
      </c>
      <c r="C21" s="133">
        <f t="shared" si="21"/>
        <v>1</v>
      </c>
      <c r="D21" s="133" t="str">
        <f t="shared" si="21"/>
        <v>NC</v>
      </c>
      <c r="E21" s="133">
        <f t="shared" si="21"/>
        <v>3</v>
      </c>
      <c r="F21" s="133">
        <f t="shared" si="21"/>
        <v>3</v>
      </c>
      <c r="G21" s="133">
        <f t="shared" si="21"/>
        <v>2</v>
      </c>
      <c r="H21" s="133">
        <f t="shared" si="21"/>
        <v>2</v>
      </c>
      <c r="I21" s="133">
        <f t="shared" si="21"/>
        <v>3</v>
      </c>
      <c r="J21" s="133">
        <f t="shared" si="21"/>
        <v>2</v>
      </c>
      <c r="K21" s="133">
        <f t="shared" si="21"/>
        <v>3</v>
      </c>
      <c r="L21" s="133">
        <f t="shared" si="21"/>
        <v>2</v>
      </c>
      <c r="M21" s="133">
        <f t="shared" si="21"/>
        <v>2</v>
      </c>
      <c r="N21" s="133">
        <f t="shared" si="21"/>
        <v>2</v>
      </c>
      <c r="O21" s="133">
        <f>IF(Espèces!P66=4,"NC",INDEX(Resistance_herbicide,1,O$2+1))</f>
        <v>3</v>
      </c>
      <c r="P21" s="133">
        <f>IF(Espèces!Q66=4,"NC",INDEX(Resistance_herbicide,1,P$2+1))</f>
        <v>2</v>
      </c>
      <c r="Q21" s="133">
        <f>IF(Espèces!R66=4,"NC",INDEX(Resistance_herbicide,1,Q$2+1))</f>
        <v>3</v>
      </c>
      <c r="R21" s="133">
        <f>IF(Espèces!S66=4,"NC",INDEX(Resistance_herbicide,1,R$2+1))</f>
        <v>1</v>
      </c>
      <c r="S21" s="133">
        <f>IF(Espèces!T66=4,"NC",INDEX(Resistance_herbicide,1,S$2+1))</f>
        <v>1</v>
      </c>
      <c r="T21" s="133">
        <f>IF(Espèces!U66=4,"NC",INDEX(Resistance_herbicide,1,T$2+1))</f>
        <v>3</v>
      </c>
      <c r="U21" s="133">
        <f>IF(Espèces!V66=4,"NC",INDEX(Resistance_herbicide,1,U$2+1))</f>
        <v>2</v>
      </c>
      <c r="V21" s="133" t="str">
        <f>IF(Espèces!W30="","0",IF(Espèces!W66=4,"NC",INDEX(Resistance_herbicide,1,V$2+1)))</f>
        <v>0</v>
      </c>
      <c r="W21" s="186">
        <f>MIN(C21,E21)</f>
        <v>1</v>
      </c>
      <c r="X21" s="186">
        <f>MIN(L21,K21,J21)</f>
        <v>2</v>
      </c>
      <c r="Y21" s="186">
        <f>MIN(D21,B21,E21)</f>
        <v>1</v>
      </c>
      <c r="Z21" s="186">
        <f>MIN(C21,L21,J21)</f>
        <v>1</v>
      </c>
      <c r="AA21" s="96" t="str">
        <f t="array" ref="AA21">IF(SUM(B22:V22)=0,"",MIN(IF(B22:V22&lt;&gt;0,B21:V21,"")))</f>
        <v/>
      </c>
    </row>
    <row r="22" spans="1:32" s="1" customFormat="1">
      <c r="A22" s="13" t="s">
        <v>197</v>
      </c>
      <c r="B22" s="53">
        <f t="shared" ref="B22:AA22" si="22">VLOOKUP(B$3,tab_melanges,13,0)</f>
        <v>0</v>
      </c>
      <c r="C22" s="53">
        <f t="shared" si="22"/>
        <v>0</v>
      </c>
      <c r="D22" s="53">
        <f t="shared" si="22"/>
        <v>0</v>
      </c>
      <c r="E22" s="53">
        <f t="shared" si="22"/>
        <v>0</v>
      </c>
      <c r="F22" s="53">
        <f t="shared" si="22"/>
        <v>0</v>
      </c>
      <c r="G22" s="53">
        <f t="shared" si="22"/>
        <v>0</v>
      </c>
      <c r="H22" s="53">
        <f t="shared" si="22"/>
        <v>0</v>
      </c>
      <c r="I22" s="53">
        <f t="shared" si="22"/>
        <v>0</v>
      </c>
      <c r="J22" s="53">
        <f t="shared" si="22"/>
        <v>0</v>
      </c>
      <c r="K22" s="53">
        <f t="shared" si="22"/>
        <v>0</v>
      </c>
      <c r="L22" s="53">
        <f t="shared" si="22"/>
        <v>0</v>
      </c>
      <c r="M22" s="53">
        <f t="shared" si="22"/>
        <v>0</v>
      </c>
      <c r="N22" s="53">
        <f t="shared" si="22"/>
        <v>0</v>
      </c>
      <c r="O22" s="53">
        <f t="shared" si="22"/>
        <v>0</v>
      </c>
      <c r="P22" s="53">
        <f t="shared" si="22"/>
        <v>0</v>
      </c>
      <c r="Q22" s="53">
        <f t="shared" si="22"/>
        <v>0</v>
      </c>
      <c r="R22" s="53">
        <f t="shared" si="22"/>
        <v>0</v>
      </c>
      <c r="S22" s="53">
        <f t="shared" si="22"/>
        <v>0</v>
      </c>
      <c r="T22" s="53">
        <f t="shared" si="22"/>
        <v>0</v>
      </c>
      <c r="U22" s="53">
        <f t="shared" si="22"/>
        <v>0</v>
      </c>
      <c r="V22" s="53">
        <f t="shared" si="22"/>
        <v>0</v>
      </c>
      <c r="W22" s="53" t="str">
        <f t="shared" si="22"/>
        <v>Non-applicable</v>
      </c>
      <c r="X22" s="53" t="str">
        <f t="shared" si="22"/>
        <v>Non-applicable</v>
      </c>
      <c r="Y22" s="53" t="str">
        <f t="shared" si="22"/>
        <v>Non-applicable</v>
      </c>
      <c r="Z22" s="53" t="str">
        <f t="shared" si="22"/>
        <v>Non-applicable</v>
      </c>
      <c r="AA22" s="53" t="str">
        <f t="shared" si="22"/>
        <v>Non-applicable</v>
      </c>
      <c r="AF22" s="1" t="s">
        <v>640</v>
      </c>
    </row>
    <row r="23" spans="1:32" s="1" customFormat="1">
      <c r="A23" s="13" t="s">
        <v>685</v>
      </c>
      <c r="B23" s="53">
        <f t="shared" ref="B23:M23" si="23">IF(B22=0,0,1)</f>
        <v>0</v>
      </c>
      <c r="C23" s="53">
        <f t="shared" si="23"/>
        <v>0</v>
      </c>
      <c r="D23" s="53">
        <f t="shared" si="23"/>
        <v>0</v>
      </c>
      <c r="E23" s="53">
        <f t="shared" si="23"/>
        <v>0</v>
      </c>
      <c r="F23" s="53">
        <f t="shared" si="23"/>
        <v>0</v>
      </c>
      <c r="G23" s="53">
        <f t="shared" si="23"/>
        <v>0</v>
      </c>
      <c r="H23" s="53">
        <f t="shared" si="23"/>
        <v>0</v>
      </c>
      <c r="I23" s="53">
        <f t="shared" si="23"/>
        <v>0</v>
      </c>
      <c r="J23" s="53">
        <f t="shared" si="23"/>
        <v>0</v>
      </c>
      <c r="K23" s="53">
        <f t="shared" si="23"/>
        <v>0</v>
      </c>
      <c r="L23" s="53">
        <f t="shared" si="23"/>
        <v>0</v>
      </c>
      <c r="M23" s="53">
        <f t="shared" si="23"/>
        <v>0</v>
      </c>
      <c r="N23" s="53">
        <f t="shared" ref="N23:V23" si="24">IF(N22=0,0,1)</f>
        <v>0</v>
      </c>
      <c r="O23" s="53">
        <f t="shared" si="24"/>
        <v>0</v>
      </c>
      <c r="P23" s="53">
        <f t="shared" si="24"/>
        <v>0</v>
      </c>
      <c r="Q23" s="53">
        <f t="shared" si="24"/>
        <v>0</v>
      </c>
      <c r="R23" s="53">
        <f t="shared" si="24"/>
        <v>0</v>
      </c>
      <c r="S23" s="53">
        <f t="shared" si="24"/>
        <v>0</v>
      </c>
      <c r="T23" s="53">
        <f t="shared" si="24"/>
        <v>0</v>
      </c>
      <c r="U23" s="53">
        <f t="shared" si="24"/>
        <v>0</v>
      </c>
      <c r="V23" s="53">
        <f t="shared" si="24"/>
        <v>0</v>
      </c>
      <c r="W23" s="53" t="str">
        <f>VLOOKUP(W$3,tab_melanges,13,0)</f>
        <v>Non-applicable</v>
      </c>
      <c r="X23" s="53" t="str">
        <f>VLOOKUP(X$3,tab_melanges,13,0)</f>
        <v>Non-applicable</v>
      </c>
      <c r="Y23" s="53" t="str">
        <f>VLOOKUP(Y$3,tab_melanges,13,0)</f>
        <v>Non-applicable</v>
      </c>
      <c r="Z23" s="53" t="str">
        <f>VLOOKUP(Z$3,tab_melanges,13,0)</f>
        <v>Non-applicable</v>
      </c>
      <c r="AA23" s="53" t="str">
        <f>VLOOKUP(AA$3,tab_melanges,13,0)</f>
        <v>Non-applicable</v>
      </c>
    </row>
    <row r="24" spans="1:32" s="1" customFormat="1">
      <c r="A24" s="13" t="s">
        <v>298</v>
      </c>
      <c r="B24" s="47">
        <f>IF(SUM($B22:$V22)=0,0,B$22/B$20)</f>
        <v>0</v>
      </c>
      <c r="C24" s="47">
        <f t="shared" ref="C24:U24" si="25">IF(SUM($B22:$V22)=0,0,C$22/C$20)</f>
        <v>0</v>
      </c>
      <c r="D24" s="47">
        <f t="shared" si="25"/>
        <v>0</v>
      </c>
      <c r="E24" s="47">
        <f t="shared" si="25"/>
        <v>0</v>
      </c>
      <c r="F24" s="47">
        <f t="shared" si="25"/>
        <v>0</v>
      </c>
      <c r="G24" s="47">
        <f t="shared" si="25"/>
        <v>0</v>
      </c>
      <c r="H24" s="47">
        <f t="shared" si="25"/>
        <v>0</v>
      </c>
      <c r="I24" s="47">
        <f t="shared" si="25"/>
        <v>0</v>
      </c>
      <c r="J24" s="47">
        <f t="shared" si="25"/>
        <v>0</v>
      </c>
      <c r="K24" s="47">
        <f t="shared" si="25"/>
        <v>0</v>
      </c>
      <c r="L24" s="47">
        <f t="shared" si="25"/>
        <v>0</v>
      </c>
      <c r="M24" s="47">
        <f t="shared" si="25"/>
        <v>0</v>
      </c>
      <c r="N24" s="47">
        <f t="shared" si="25"/>
        <v>0</v>
      </c>
      <c r="O24" s="47">
        <f t="shared" si="25"/>
        <v>0</v>
      </c>
      <c r="P24" s="47">
        <f t="shared" si="25"/>
        <v>0</v>
      </c>
      <c r="Q24" s="47">
        <f t="shared" si="25"/>
        <v>0</v>
      </c>
      <c r="R24" s="47">
        <f t="shared" si="25"/>
        <v>0</v>
      </c>
      <c r="S24" s="47">
        <f t="shared" si="25"/>
        <v>0</v>
      </c>
      <c r="T24" s="47">
        <f t="shared" si="25"/>
        <v>0</v>
      </c>
      <c r="U24" s="47">
        <f t="shared" si="25"/>
        <v>0</v>
      </c>
      <c r="V24" s="47" t="str">
        <f>IF(Espèces!W30="","0,00",IF(SUM($B22:$V22)=0,0,V$22/V$20))</f>
        <v>0,00</v>
      </c>
      <c r="W24" s="47">
        <f>F91+G91</f>
        <v>1.0047619047619047</v>
      </c>
      <c r="X24" s="47">
        <f>F81+G81+H81</f>
        <v>0.66017316017316019</v>
      </c>
      <c r="Y24" s="47">
        <f>B81+C81+D81</f>
        <v>1.0648148148148149</v>
      </c>
      <c r="Z24" s="47">
        <f>B91+C91+D91</f>
        <v>1</v>
      </c>
      <c r="AA24" s="47">
        <f>SUM(B24:V24)</f>
        <v>0</v>
      </c>
      <c r="AB24" s="47"/>
      <c r="AE24" s="160"/>
      <c r="AF24" s="160">
        <f>SUM(B24:L24)</f>
        <v>0</v>
      </c>
    </row>
    <row r="25" spans="1:32" s="1" customFormat="1">
      <c r="A25" s="13" t="s">
        <v>661</v>
      </c>
      <c r="W25" s="1">
        <f>Melange!C34</f>
        <v>1.2</v>
      </c>
      <c r="X25" s="1">
        <v>0.8</v>
      </c>
      <c r="Y25" s="1">
        <v>1</v>
      </c>
      <c r="Z25" s="1">
        <v>1</v>
      </c>
      <c r="AA25" s="1" t="str">
        <f>Melange!H25</f>
        <v/>
      </c>
    </row>
    <row r="26" spans="1:32" s="1" customFormat="1">
      <c r="E26" s="160">
        <f>SUM(B24:V24)</f>
        <v>0</v>
      </c>
    </row>
    <row r="27" spans="1:32" s="1" customFormat="1">
      <c r="AC27" s="1">
        <v>1</v>
      </c>
    </row>
    <row r="28" spans="1:32" s="1" customFormat="1">
      <c r="A28" s="51" t="s">
        <v>69</v>
      </c>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C28" s="1">
        <v>2</v>
      </c>
    </row>
    <row r="29" spans="1:32" s="1" customFormat="1">
      <c r="A29" s="41" t="s">
        <v>70</v>
      </c>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C29" s="1">
        <v>3</v>
      </c>
    </row>
    <row r="30" spans="1:32" s="1" customFormat="1">
      <c r="A30" s="39" t="s">
        <v>222</v>
      </c>
      <c r="B30" s="184"/>
      <c r="C30" s="184"/>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C30" s="1">
        <v>4</v>
      </c>
    </row>
    <row r="31" spans="1:32" s="1" customFormat="1">
      <c r="A31" s="50" t="s">
        <v>71</v>
      </c>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C31" s="1">
        <v>5</v>
      </c>
    </row>
    <row r="32" spans="1:32" s="1" customFormat="1">
      <c r="A32" s="2" t="s">
        <v>223</v>
      </c>
      <c r="B32" s="184"/>
      <c r="C32" s="184"/>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C32" s="1">
        <v>6</v>
      </c>
    </row>
    <row r="33" spans="1:29" s="1" customFormat="1">
      <c r="A33" s="40" t="s">
        <v>225</v>
      </c>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C33" s="1">
        <v>7</v>
      </c>
    </row>
    <row r="34" spans="1:29" s="1" customFormat="1">
      <c r="A34" s="52" t="s">
        <v>226</v>
      </c>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C34" s="1">
        <v>8</v>
      </c>
    </row>
    <row r="35" spans="1:29" s="1" customFormat="1">
      <c r="A35" s="49" t="s">
        <v>227</v>
      </c>
      <c r="B35" s="184"/>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C35" s="1">
        <v>9</v>
      </c>
    </row>
    <row r="36" spans="1:29" s="1" customFormat="1">
      <c r="A36" s="43" t="s">
        <v>228</v>
      </c>
      <c r="B36" s="184"/>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C36" s="1">
        <v>10</v>
      </c>
    </row>
    <row r="37" spans="1:29" s="1" customFormat="1">
      <c r="A37" s="48" t="s">
        <v>229</v>
      </c>
      <c r="B37" s="184"/>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C37" s="1">
        <v>11</v>
      </c>
    </row>
    <row r="38" spans="1:29" s="1" customFormat="1">
      <c r="A38" s="1" t="s">
        <v>212</v>
      </c>
      <c r="B38" s="184"/>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339"/>
      <c r="AA38" s="184"/>
      <c r="AC38" s="1">
        <v>12</v>
      </c>
    </row>
    <row r="39" spans="1:29" s="1" customFormat="1">
      <c r="A39" s="1" t="s">
        <v>25</v>
      </c>
      <c r="B39" s="184"/>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C39" s="1">
        <v>13</v>
      </c>
    </row>
    <row r="40" spans="1:29" s="1" customFormat="1">
      <c r="A40" s="1" t="s">
        <v>221</v>
      </c>
      <c r="B40" s="184"/>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C40" s="1">
        <v>14</v>
      </c>
    </row>
    <row r="41" spans="1:29" s="1" customFormat="1">
      <c r="A41" s="1" t="s">
        <v>72</v>
      </c>
      <c r="B41" s="184"/>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C41" s="1">
        <v>15</v>
      </c>
    </row>
    <row r="42" spans="1:29" s="1" customFormat="1">
      <c r="A42" s="1" t="s">
        <v>304</v>
      </c>
      <c r="B42" s="184"/>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C42" s="1">
        <v>16</v>
      </c>
    </row>
    <row r="43" spans="1:29" s="1" customFormat="1">
      <c r="A43" s="13" t="s">
        <v>253</v>
      </c>
      <c r="B43" s="4"/>
      <c r="C43" s="4"/>
      <c r="D43" s="4"/>
      <c r="E43" s="4"/>
      <c r="F43" s="4"/>
      <c r="G43" s="4"/>
      <c r="H43" s="4"/>
      <c r="I43" s="4"/>
      <c r="J43" s="4"/>
      <c r="K43" s="4"/>
      <c r="L43" s="4"/>
      <c r="M43" s="4"/>
      <c r="N43" s="4"/>
      <c r="O43" s="4"/>
      <c r="P43" s="4"/>
      <c r="Q43" s="4"/>
      <c r="R43" s="4"/>
      <c r="S43" s="4"/>
      <c r="T43" s="4"/>
      <c r="U43" s="4"/>
      <c r="V43" s="4"/>
      <c r="W43" s="4"/>
      <c r="X43" s="4"/>
      <c r="Y43" s="4"/>
      <c r="Z43" s="4"/>
      <c r="AA43" s="4"/>
      <c r="AC43" s="1">
        <v>17</v>
      </c>
    </row>
    <row r="44" spans="1:29" s="1" customFormat="1">
      <c r="A44" s="13" t="s">
        <v>427</v>
      </c>
      <c r="B44" s="4"/>
      <c r="C44" s="4"/>
      <c r="D44" s="4"/>
      <c r="E44" s="4"/>
      <c r="F44" s="4"/>
      <c r="G44" s="4"/>
      <c r="H44" s="4"/>
      <c r="I44" s="4"/>
      <c r="J44" s="4"/>
      <c r="K44" s="4"/>
      <c r="L44" s="4"/>
      <c r="M44" s="4"/>
      <c r="N44" s="4"/>
      <c r="O44" s="4"/>
      <c r="P44" s="4"/>
      <c r="Q44" s="4"/>
      <c r="R44" s="4"/>
      <c r="S44" s="4"/>
      <c r="T44" s="4"/>
      <c r="U44" s="4"/>
      <c r="V44" s="4"/>
      <c r="W44" s="4"/>
      <c r="X44" s="4"/>
      <c r="Y44" s="4"/>
      <c r="Z44" s="4"/>
      <c r="AA44" s="4"/>
      <c r="AC44" s="1">
        <v>18</v>
      </c>
    </row>
    <row r="45" spans="1:29" s="1" customFormat="1">
      <c r="A45" s="13" t="s">
        <v>428</v>
      </c>
      <c r="AC45" s="1">
        <v>19</v>
      </c>
    </row>
    <row r="46" spans="1:29" s="1" customFormat="1">
      <c r="A46" s="13" t="s">
        <v>197</v>
      </c>
      <c r="AC46" s="1">
        <v>20</v>
      </c>
    </row>
    <row r="47" spans="1:29" s="1" customFormat="1">
      <c r="C47" s="54"/>
      <c r="F47" s="4"/>
      <c r="I47" s="46"/>
      <c r="AC47" s="1">
        <v>21</v>
      </c>
    </row>
    <row r="48" spans="1:29" s="1" customFormat="1">
      <c r="A48" s="1" t="s">
        <v>637</v>
      </c>
      <c r="B48" s="54" t="s">
        <v>638</v>
      </c>
      <c r="C48" s="46" t="s">
        <v>639</v>
      </c>
      <c r="AC48" s="1">
        <v>22</v>
      </c>
    </row>
    <row r="49" spans="1:29" s="1" customFormat="1">
      <c r="A49" s="1">
        <v>26</v>
      </c>
      <c r="B49" s="1" t="s">
        <v>689</v>
      </c>
      <c r="C49" s="1" t="s">
        <v>921</v>
      </c>
      <c r="AC49" s="1">
        <v>23</v>
      </c>
    </row>
    <row r="50" spans="1:29" s="1" customFormat="1">
      <c r="A50" s="1">
        <v>25</v>
      </c>
      <c r="B50" s="1" t="s">
        <v>687</v>
      </c>
      <c r="C50" s="1" t="s">
        <v>921</v>
      </c>
      <c r="AC50" s="1">
        <v>24</v>
      </c>
    </row>
    <row r="51" spans="1:29" s="1" customFormat="1">
      <c r="A51" s="1">
        <v>24</v>
      </c>
      <c r="B51" s="1" t="s">
        <v>688</v>
      </c>
      <c r="C51" s="1" t="s">
        <v>921</v>
      </c>
      <c r="AC51" s="1">
        <v>25</v>
      </c>
    </row>
    <row r="52" spans="1:29" s="1" customFormat="1">
      <c r="A52" s="1">
        <v>23</v>
      </c>
      <c r="B52" s="1" t="s">
        <v>686</v>
      </c>
      <c r="C52" s="1" t="s">
        <v>921</v>
      </c>
      <c r="AC52" s="1">
        <v>26</v>
      </c>
    </row>
    <row r="53" spans="1:29" s="1" customFormat="1">
      <c r="A53" s="1">
        <v>22</v>
      </c>
      <c r="B53" s="1" t="s">
        <v>42</v>
      </c>
      <c r="C53" s="1">
        <v>0</v>
      </c>
      <c r="AC53" s="1">
        <v>27</v>
      </c>
    </row>
    <row r="54" spans="1:29" s="1" customFormat="1">
      <c r="A54" s="1">
        <v>21</v>
      </c>
      <c r="B54" s="1" t="s">
        <v>41</v>
      </c>
      <c r="C54" s="1">
        <v>0</v>
      </c>
      <c r="AC54" s="1">
        <v>28</v>
      </c>
    </row>
    <row r="55" spans="1:29" s="1" customFormat="1">
      <c r="A55" s="1">
        <v>20</v>
      </c>
      <c r="B55" s="1" t="s">
        <v>422</v>
      </c>
      <c r="C55" s="1">
        <v>0</v>
      </c>
      <c r="AC55" s="1">
        <v>29</v>
      </c>
    </row>
    <row r="56" spans="1:29" s="1" customFormat="1">
      <c r="A56" s="1">
        <v>19</v>
      </c>
      <c r="B56" s="1" t="s">
        <v>43</v>
      </c>
      <c r="C56" s="1">
        <v>0</v>
      </c>
      <c r="AC56" s="1">
        <v>30</v>
      </c>
    </row>
    <row r="57" spans="1:29" s="1" customFormat="1">
      <c r="A57" s="1">
        <v>18</v>
      </c>
      <c r="B57" s="1" t="s">
        <v>794</v>
      </c>
      <c r="C57" s="1">
        <v>0</v>
      </c>
      <c r="AC57" s="1">
        <v>31</v>
      </c>
    </row>
    <row r="58" spans="1:29" s="1" customFormat="1">
      <c r="A58" s="1">
        <v>17</v>
      </c>
      <c r="B58" s="1" t="s">
        <v>3</v>
      </c>
      <c r="C58" s="1">
        <v>0</v>
      </c>
      <c r="AC58" s="1">
        <v>32</v>
      </c>
    </row>
    <row r="59" spans="1:29" s="1" customFormat="1">
      <c r="A59" s="1">
        <v>16</v>
      </c>
      <c r="B59" s="1" t="s">
        <v>796</v>
      </c>
      <c r="C59" s="1">
        <v>0</v>
      </c>
      <c r="AC59" s="1">
        <v>33</v>
      </c>
    </row>
    <row r="60" spans="1:29" s="1" customFormat="1">
      <c r="A60" s="1">
        <v>15</v>
      </c>
      <c r="B60" s="1" t="s">
        <v>295</v>
      </c>
      <c r="C60" s="1">
        <v>0</v>
      </c>
    </row>
    <row r="61" spans="1:29" s="1" customFormat="1">
      <c r="A61" s="1">
        <v>14</v>
      </c>
      <c r="B61" s="1" t="s">
        <v>2</v>
      </c>
      <c r="C61" s="1">
        <v>0</v>
      </c>
    </row>
    <row r="62" spans="1:29" s="1" customFormat="1">
      <c r="A62" s="1">
        <v>13</v>
      </c>
      <c r="B62" s="1" t="s">
        <v>791</v>
      </c>
      <c r="C62" s="1">
        <v>0</v>
      </c>
    </row>
    <row r="63" spans="1:29" s="1" customFormat="1">
      <c r="A63" s="1">
        <v>12</v>
      </c>
      <c r="B63" s="1" t="s">
        <v>799</v>
      </c>
      <c r="C63" s="1">
        <v>0</v>
      </c>
    </row>
    <row r="64" spans="1:29" s="1" customFormat="1">
      <c r="A64" s="1">
        <v>11</v>
      </c>
      <c r="B64" s="1" t="s">
        <v>800</v>
      </c>
      <c r="C64" s="1">
        <v>0</v>
      </c>
    </row>
    <row r="65" spans="1:9" s="1" customFormat="1">
      <c r="A65" s="1">
        <v>10</v>
      </c>
      <c r="B65" s="1" t="s">
        <v>790</v>
      </c>
      <c r="C65" s="1">
        <v>0</v>
      </c>
    </row>
    <row r="66" spans="1:9">
      <c r="A66" s="1">
        <v>9</v>
      </c>
      <c r="B66" s="1" t="s">
        <v>230</v>
      </c>
      <c r="C66" s="1">
        <v>0</v>
      </c>
    </row>
    <row r="67" spans="1:9">
      <c r="A67" s="1">
        <v>8</v>
      </c>
      <c r="B67" s="1" t="s">
        <v>1</v>
      </c>
      <c r="C67" s="1">
        <v>0</v>
      </c>
    </row>
    <row r="68" spans="1:9">
      <c r="A68" s="1">
        <v>7</v>
      </c>
      <c r="B68" s="1" t="s">
        <v>396</v>
      </c>
      <c r="C68" s="1">
        <v>0</v>
      </c>
    </row>
    <row r="69" spans="1:9">
      <c r="A69" s="1">
        <v>6</v>
      </c>
      <c r="B69" s="1" t="s">
        <v>0</v>
      </c>
      <c r="C69" s="1">
        <v>0</v>
      </c>
    </row>
    <row r="70" spans="1:9" s="1" customFormat="1">
      <c r="A70" s="1">
        <v>5</v>
      </c>
      <c r="B70" s="1" t="s">
        <v>793</v>
      </c>
      <c r="C70" s="1">
        <v>0</v>
      </c>
    </row>
    <row r="71" spans="1:9" s="1" customFormat="1">
      <c r="A71" s="1">
        <v>4</v>
      </c>
      <c r="B71" s="1" t="s">
        <v>798</v>
      </c>
      <c r="C71" s="1">
        <v>0</v>
      </c>
    </row>
    <row r="72" spans="1:9" s="1" customFormat="1">
      <c r="A72" s="1">
        <v>3</v>
      </c>
      <c r="B72" s="1" t="s">
        <v>795</v>
      </c>
      <c r="C72" s="1">
        <v>0</v>
      </c>
    </row>
    <row r="73" spans="1:9" s="1" customFormat="1">
      <c r="A73" s="1">
        <v>2</v>
      </c>
      <c r="B73" s="1" t="s">
        <v>691</v>
      </c>
      <c r="C73" s="1" t="s">
        <v>921</v>
      </c>
    </row>
    <row r="74" spans="1:9" s="1" customFormat="1">
      <c r="A74" s="1">
        <v>1</v>
      </c>
      <c r="B74" s="1" t="s">
        <v>802</v>
      </c>
      <c r="C74" s="1">
        <v>0</v>
      </c>
    </row>
    <row r="75" spans="1:9" s="1" customFormat="1" ht="15" thickBot="1"/>
    <row r="76" spans="1:9">
      <c r="B76" s="721" t="s">
        <v>690</v>
      </c>
      <c r="C76" s="722"/>
      <c r="D76" s="722"/>
      <c r="E76" s="722"/>
      <c r="F76" s="722"/>
      <c r="G76" s="722"/>
      <c r="H76" s="723"/>
    </row>
    <row r="77" spans="1:9">
      <c r="B77" s="718" t="s">
        <v>687</v>
      </c>
      <c r="C77" s="719"/>
      <c r="D77" s="719"/>
      <c r="E77" s="119"/>
      <c r="F77" s="719" t="s">
        <v>688</v>
      </c>
      <c r="G77" s="719"/>
      <c r="H77" s="720"/>
      <c r="I77" s="445"/>
    </row>
    <row r="78" spans="1:9">
      <c r="B78" s="443" t="s">
        <v>1</v>
      </c>
      <c r="C78" s="444" t="s">
        <v>0</v>
      </c>
      <c r="D78" s="444" t="s">
        <v>230</v>
      </c>
      <c r="E78" s="119"/>
      <c r="F78" s="444" t="s">
        <v>933</v>
      </c>
      <c r="G78" s="444" t="s">
        <v>41</v>
      </c>
      <c r="H78" s="206" t="s">
        <v>932</v>
      </c>
      <c r="I78" s="445"/>
    </row>
    <row r="79" spans="1:9">
      <c r="A79" t="s">
        <v>928</v>
      </c>
      <c r="B79" s="427">
        <v>15</v>
      </c>
      <c r="C79" s="428">
        <v>10</v>
      </c>
      <c r="D79" s="428">
        <v>10</v>
      </c>
      <c r="E79" s="9"/>
      <c r="F79" s="428">
        <v>6</v>
      </c>
      <c r="G79" s="428">
        <v>10</v>
      </c>
      <c r="H79" s="429">
        <v>4</v>
      </c>
    </row>
    <row r="80" spans="1:9" s="1" customFormat="1">
      <c r="A80" s="1" t="s">
        <v>929</v>
      </c>
      <c r="B80" s="427">
        <f>INDEX(Densite_semis,1,MATCH(B78,Especes,0))</f>
        <v>36</v>
      </c>
      <c r="C80" s="428">
        <f>INDEX(Densite_semis,1,MATCH(C78,Especes,0))</f>
        <v>27</v>
      </c>
      <c r="D80" s="428">
        <f>INDEX(Densite_semis,1,MATCH(D78,Especes,0))</f>
        <v>36</v>
      </c>
      <c r="E80" s="9"/>
      <c r="F80" s="428">
        <f>INDEX(Densite_semis,1,MATCH(F78,Especes,0))</f>
        <v>36</v>
      </c>
      <c r="G80" s="428">
        <f>INDEX(Densite_semis,1,MATCH(G78,Especes,0))</f>
        <v>33</v>
      </c>
      <c r="H80" s="429">
        <f>INDEX(Densite_semis,1,MATCH(H78,Especes,0))</f>
        <v>21</v>
      </c>
    </row>
    <row r="81" spans="1:8">
      <c r="A81" t="s">
        <v>926</v>
      </c>
      <c r="B81" s="189">
        <f>B79/B80</f>
        <v>0.41666666666666669</v>
      </c>
      <c r="C81" s="190">
        <f>C79/C80</f>
        <v>0.37037037037037035</v>
      </c>
      <c r="D81" s="190">
        <f>D79/D80</f>
        <v>0.27777777777777779</v>
      </c>
      <c r="E81" s="9"/>
      <c r="F81" s="190">
        <f t="shared" ref="F81:H81" si="26">F79/F80</f>
        <v>0.16666666666666666</v>
      </c>
      <c r="G81" s="190">
        <f t="shared" si="26"/>
        <v>0.30303030303030304</v>
      </c>
      <c r="H81" s="191">
        <f t="shared" si="26"/>
        <v>0.19047619047619047</v>
      </c>
    </row>
    <row r="82" spans="1:8" s="1" customFormat="1">
      <c r="A82" s="1" t="s">
        <v>925</v>
      </c>
      <c r="B82" s="427">
        <f>INDEX(Cout_semences,1,MATCH(B78,Especes,0))</f>
        <v>65</v>
      </c>
      <c r="C82" s="428" t="str">
        <f>INDEX(Cout_semences,1,MATCH(C78,Especes,0))</f>
        <v>50 €</v>
      </c>
      <c r="D82" s="428">
        <f>INDEX(Cout_semences,1,MATCH(D78,Especes,0))</f>
        <v>55</v>
      </c>
      <c r="E82" s="9"/>
      <c r="F82" s="428">
        <f>INDEX(Cout_semences,1,MATCH(F78,Especes,0))</f>
        <v>85</v>
      </c>
      <c r="G82" s="428">
        <f>INDEX(Cout_semences,1,MATCH(G78,Especes,0))</f>
        <v>55</v>
      </c>
      <c r="H82" s="429">
        <f>INDEX(Cout_semences,1,MATCH(H78,Especes,0))</f>
        <v>35</v>
      </c>
    </row>
    <row r="83" spans="1:8" s="1" customFormat="1">
      <c r="A83" s="1" t="s">
        <v>930</v>
      </c>
      <c r="B83" s="440">
        <f>B82*B81</f>
        <v>27.083333333333336</v>
      </c>
      <c r="C83" s="441">
        <f>C82*C81</f>
        <v>18.518518518518519</v>
      </c>
      <c r="D83" s="441">
        <f>D82*D81</f>
        <v>15.277777777777779</v>
      </c>
      <c r="E83" s="9"/>
      <c r="F83" s="441">
        <f>F82*F81</f>
        <v>14.166666666666666</v>
      </c>
      <c r="G83" s="441">
        <f>G82*G81</f>
        <v>16.666666666666668</v>
      </c>
      <c r="H83" s="442">
        <f>H82*H81</f>
        <v>6.6666666666666661</v>
      </c>
    </row>
    <row r="84" spans="1:8" s="1" customFormat="1">
      <c r="A84" s="1" t="s">
        <v>931</v>
      </c>
      <c r="B84" s="726">
        <f>SUM(B83:D83)</f>
        <v>60.879629629629633</v>
      </c>
      <c r="C84" s="727"/>
      <c r="D84" s="727"/>
      <c r="E84" s="9"/>
      <c r="F84" s="728">
        <f>SUM(F83:H83)</f>
        <v>37.5</v>
      </c>
      <c r="G84" s="727"/>
      <c r="H84" s="729"/>
    </row>
    <row r="85" spans="1:8" s="1" customFormat="1">
      <c r="A85" s="1" t="s">
        <v>927</v>
      </c>
      <c r="B85" s="724">
        <f>SUM(B79:D79)</f>
        <v>35</v>
      </c>
      <c r="C85" s="725"/>
      <c r="D85" s="725"/>
      <c r="E85" s="9"/>
      <c r="F85" s="724">
        <f>SUM(F79:H79)</f>
        <v>20</v>
      </c>
      <c r="G85" s="725"/>
      <c r="H85" s="725"/>
    </row>
    <row r="86" spans="1:8">
      <c r="B86" s="8"/>
      <c r="C86" s="9"/>
      <c r="D86" s="9"/>
      <c r="E86" s="9"/>
      <c r="F86" s="9"/>
      <c r="G86" s="9"/>
      <c r="H86" s="192"/>
    </row>
    <row r="87" spans="1:8">
      <c r="B87" s="718" t="s">
        <v>689</v>
      </c>
      <c r="C87" s="719"/>
      <c r="D87" s="719"/>
      <c r="E87" s="119"/>
      <c r="F87" s="719" t="s">
        <v>686</v>
      </c>
      <c r="G87" s="719"/>
      <c r="H87" s="720"/>
    </row>
    <row r="88" spans="1:8">
      <c r="B88" s="443" t="s">
        <v>934</v>
      </c>
      <c r="C88" s="444" t="s">
        <v>933</v>
      </c>
      <c r="D88" s="444" t="s">
        <v>932</v>
      </c>
      <c r="E88" s="119"/>
      <c r="F88" s="444" t="s">
        <v>934</v>
      </c>
      <c r="G88" s="444" t="s">
        <v>230</v>
      </c>
      <c r="H88" s="192"/>
    </row>
    <row r="89" spans="1:8">
      <c r="A89" s="1" t="s">
        <v>928</v>
      </c>
      <c r="B89" s="427">
        <v>50</v>
      </c>
      <c r="C89" s="428">
        <v>12</v>
      </c>
      <c r="D89" s="428">
        <v>4</v>
      </c>
      <c r="E89" s="9"/>
      <c r="F89" s="428">
        <v>53</v>
      </c>
      <c r="G89" s="428">
        <v>18</v>
      </c>
      <c r="H89" s="192"/>
    </row>
    <row r="90" spans="1:8" s="1" customFormat="1">
      <c r="A90" s="1" t="s">
        <v>929</v>
      </c>
      <c r="B90" s="427">
        <f>INDEX(Densite_semis,1,MATCH(B88,Especes,0))</f>
        <v>105</v>
      </c>
      <c r="C90" s="428">
        <f>INDEX(Densite_semis,1,MATCH(C88,Especes,0))</f>
        <v>36</v>
      </c>
      <c r="D90" s="428">
        <f>INDEX(Densite_semis,1,MATCH(D88,Especes,0))</f>
        <v>21</v>
      </c>
      <c r="E90" s="9"/>
      <c r="F90" s="428">
        <f>INDEX(Densite_semis,1,MATCH(F88,Especes,0))</f>
        <v>105</v>
      </c>
      <c r="G90" s="428">
        <f>INDEX(Densite_semis,1,MATCH(G88,Especes,0))</f>
        <v>36</v>
      </c>
      <c r="H90" s="192"/>
    </row>
    <row r="91" spans="1:8">
      <c r="A91" s="1" t="s">
        <v>926</v>
      </c>
      <c r="B91" s="189">
        <f>B89/B90</f>
        <v>0.47619047619047616</v>
      </c>
      <c r="C91" s="190">
        <f>C89/C90</f>
        <v>0.33333333333333331</v>
      </c>
      <c r="D91" s="190">
        <f>D89/D90</f>
        <v>0.19047619047619047</v>
      </c>
      <c r="E91" s="9"/>
      <c r="F91" s="190">
        <f>F89/F90</f>
        <v>0.50476190476190474</v>
      </c>
      <c r="G91" s="190">
        <f>G89/G90</f>
        <v>0.5</v>
      </c>
      <c r="H91" s="192"/>
    </row>
    <row r="92" spans="1:8" s="1" customFormat="1">
      <c r="A92" s="1" t="s">
        <v>925</v>
      </c>
      <c r="B92" s="427">
        <f>INDEX(Cout_semences,1,MATCH(B88,Especes,0))</f>
        <v>35</v>
      </c>
      <c r="C92" s="428">
        <f>INDEX(Cout_semences,1,MATCH(C88,Especes,0))</f>
        <v>85</v>
      </c>
      <c r="D92" s="428">
        <f>INDEX(Cout_semences,1,MATCH(D88,Especes,0))</f>
        <v>35</v>
      </c>
      <c r="E92" s="9"/>
      <c r="F92" s="428">
        <f>INDEX(Cout_semences,1,MATCH(F88,Especes,0))</f>
        <v>35</v>
      </c>
      <c r="G92" s="428">
        <f>INDEX(Cout_semences,1,MATCH(G88,Especes,0))</f>
        <v>55</v>
      </c>
      <c r="H92" s="192"/>
    </row>
    <row r="93" spans="1:8" s="1" customFormat="1">
      <c r="A93" s="1" t="s">
        <v>930</v>
      </c>
      <c r="B93" s="440">
        <f>B92*B91</f>
        <v>16.666666666666664</v>
      </c>
      <c r="C93" s="441">
        <f>C92*C91</f>
        <v>28.333333333333332</v>
      </c>
      <c r="D93" s="441">
        <f>D92*D91</f>
        <v>6.6666666666666661</v>
      </c>
      <c r="E93" s="9"/>
      <c r="F93" s="441">
        <f>F92*F91</f>
        <v>17.666666666666664</v>
      </c>
      <c r="G93" s="441">
        <f>G92*G91</f>
        <v>27.5</v>
      </c>
      <c r="H93" s="192"/>
    </row>
    <row r="94" spans="1:8" s="1" customFormat="1" ht="15" thickBot="1">
      <c r="A94" s="1" t="s">
        <v>931</v>
      </c>
      <c r="B94" s="730">
        <f>SUM(B93:D93)</f>
        <v>51.666666666666664</v>
      </c>
      <c r="C94" s="731"/>
      <c r="D94" s="731"/>
      <c r="E94" s="193"/>
      <c r="F94" s="732">
        <f>SUM(F93:H93)</f>
        <v>45.166666666666664</v>
      </c>
      <c r="G94" s="731"/>
      <c r="H94" s="733"/>
    </row>
    <row r="95" spans="1:8">
      <c r="A95" s="1" t="s">
        <v>927</v>
      </c>
      <c r="B95" s="724">
        <f>SUM(B89:D89)</f>
        <v>66</v>
      </c>
      <c r="C95" s="725"/>
      <c r="D95" s="725"/>
      <c r="E95" s="9"/>
      <c r="F95" s="724">
        <f>SUM(F89:H89)</f>
        <v>71</v>
      </c>
      <c r="G95" s="725"/>
      <c r="H95" s="725"/>
    </row>
  </sheetData>
  <sortState ref="A49:C74">
    <sortCondition descending="1" ref="A49:A65"/>
  </sortState>
  <mergeCells count="13">
    <mergeCell ref="B95:D95"/>
    <mergeCell ref="F95:H95"/>
    <mergeCell ref="B84:D84"/>
    <mergeCell ref="F84:H84"/>
    <mergeCell ref="B94:D94"/>
    <mergeCell ref="F94:H94"/>
    <mergeCell ref="B85:D85"/>
    <mergeCell ref="F85:H85"/>
    <mergeCell ref="B77:D77"/>
    <mergeCell ref="B87:D87"/>
    <mergeCell ref="F77:H77"/>
    <mergeCell ref="F87:H87"/>
    <mergeCell ref="B76:H76"/>
  </mergeCells>
  <pageMargins left="0.78740157499999996" right="0.78740157499999996" top="0.984251969" bottom="0.984251969"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enableFormatConditionsCalculation="0"/>
  <dimension ref="A1:U150"/>
  <sheetViews>
    <sheetView topLeftCell="J1" workbookViewId="0">
      <selection activeCell="U1" sqref="U1"/>
    </sheetView>
  </sheetViews>
  <sheetFormatPr baseColWidth="10" defaultColWidth="14.83203125" defaultRowHeight="14" x14ac:dyDescent="0"/>
  <cols>
    <col min="1" max="2" width="14.83203125" style="3"/>
    <col min="3" max="3" width="16" style="3" customWidth="1"/>
    <col min="4" max="16384" width="14.83203125" style="3"/>
  </cols>
  <sheetData>
    <row r="1" spans="1:21">
      <c r="B1" s="3" t="str">
        <f>LEFT(Evaluation!B7,30)</f>
        <v>Avoine noire</v>
      </c>
      <c r="C1" s="3" t="str">
        <f>LEFT(Evaluation!C7,31)</f>
        <v>Avoine rude</v>
      </c>
      <c r="D1" s="3" t="str">
        <f>LEFT(Evaluation!D7,30)</f>
        <v>Cameline</v>
      </c>
      <c r="E1" s="3" t="str">
        <f>LEFT(Evaluation!E7,30)</f>
        <v>Fenugrec</v>
      </c>
      <c r="F1" s="3" t="str">
        <f>LEFT(Evaluation!F7,30)</f>
        <v>Feverole de printemps précoce</v>
      </c>
      <c r="G1" s="3" t="str">
        <f>LEFT(Evaluation!G7,30)</f>
        <v>Gesse</v>
      </c>
      <c r="H1" s="3" t="str">
        <f>LEFT(Evaluation!H7,30)</f>
        <v>Lentille fourragere</v>
      </c>
      <c r="I1" s="3" t="str">
        <f>LEFT(Evaluation!I7,30)</f>
        <v>Lin de printemps (graine)</v>
      </c>
      <c r="J1" s="3" t="str">
        <f>LEFT(Evaluation!J7,30)</f>
        <v>Luzerne</v>
      </c>
      <c r="K1" s="3" t="str">
        <f>LEFT(Evaluation!K7,30)</f>
        <v>Navette fourragere</v>
      </c>
      <c r="L1" s="3" t="str">
        <f>LEFT(Evaluation!L7,30)</f>
        <v>Nyger</v>
      </c>
      <c r="M1" s="3" t="str">
        <f>LEFT(Evaluation!M7,30)</f>
        <v>Phacelie</v>
      </c>
      <c r="N1" s="3" t="str">
        <f>LEFT(Evaluation!N7,30)</f>
        <v>Pois fourrager de printemps</v>
      </c>
      <c r="O1" s="3" t="str">
        <f>LEFT(Evaluation!O7,30)</f>
        <v>Pois protéagineux</v>
      </c>
      <c r="P1" s="3" t="str">
        <f>LEFT(Evaluation!P7,30)</f>
        <v>Sarrasin</v>
      </c>
      <c r="Q1" s="3" t="str">
        <f>LEFT(Evaluation!Q7,30)</f>
        <v>Tournesol</v>
      </c>
      <c r="R1" s="3" t="str">
        <f>LEFT(Evaluation!R7,30)</f>
        <v>Trefle Alexandrie monocoupe pr</v>
      </c>
      <c r="S1" s="3" t="str">
        <f>LEFT(Evaluation!S7,30)</f>
        <v>Trefle blanc nain</v>
      </c>
      <c r="T1" s="3" t="str">
        <f>LEFT(Evaluation!T7,30)</f>
        <v>Vesce commune de printemps</v>
      </c>
      <c r="U1" s="3" t="str">
        <f>LEFT(Evaluation!U7,30)</f>
        <v>Vesce pourpre précoce</v>
      </c>
    </row>
    <row r="2" spans="1:21">
      <c r="A2" s="3" t="s">
        <v>17</v>
      </c>
      <c r="B2" s="3" t="e">
        <f>Evaluation!B8</f>
        <v>#N/A</v>
      </c>
      <c r="C2" s="3" t="e">
        <f>Evaluation!C8</f>
        <v>#N/A</v>
      </c>
      <c r="D2" s="3" t="e">
        <f>Evaluation!D8</f>
        <v>#N/A</v>
      </c>
      <c r="E2" s="3" t="e">
        <f>Evaluation!E8</f>
        <v>#N/A</v>
      </c>
      <c r="F2" s="3" t="e">
        <f>Evaluation!F8</f>
        <v>#N/A</v>
      </c>
      <c r="G2" s="3" t="e">
        <f>Evaluation!G8</f>
        <v>#N/A</v>
      </c>
      <c r="H2" s="3" t="e">
        <f>Evaluation!H8</f>
        <v>#N/A</v>
      </c>
      <c r="I2" s="3" t="e">
        <f>Evaluation!I8</f>
        <v>#N/A</v>
      </c>
      <c r="J2" s="3" t="e">
        <f>Evaluation!J8</f>
        <v>#N/A</v>
      </c>
      <c r="K2" s="3" t="e">
        <f>Evaluation!K8</f>
        <v>#N/A</v>
      </c>
      <c r="L2" s="3" t="e">
        <f>Evaluation!L8</f>
        <v>#N/A</v>
      </c>
      <c r="M2" s="3" t="e">
        <f>Evaluation!M8</f>
        <v>#N/A</v>
      </c>
      <c r="N2" s="3" t="e">
        <f>Evaluation!N8</f>
        <v>#N/A</v>
      </c>
      <c r="O2" s="3" t="e">
        <f>Evaluation!O8</f>
        <v>#N/A</v>
      </c>
      <c r="P2" s="3" t="e">
        <f>Evaluation!P8</f>
        <v>#N/A</v>
      </c>
      <c r="Q2" s="3" t="e">
        <f>Evaluation!Q8</f>
        <v>#N/A</v>
      </c>
      <c r="R2" s="3" t="e">
        <f>Evaluation!R8</f>
        <v>#N/A</v>
      </c>
      <c r="S2" s="3" t="e">
        <f>Evaluation!S8</f>
        <v>#N/A</v>
      </c>
      <c r="T2" s="3" t="e">
        <f>Evaluation!T8</f>
        <v>#N/A</v>
      </c>
      <c r="U2" s="3" t="e">
        <f>Evaluation!U8</f>
        <v>#N/A</v>
      </c>
    </row>
    <row r="3" spans="1:21">
      <c r="A3" s="3" t="s">
        <v>525</v>
      </c>
      <c r="B3" s="3">
        <f>Evaluation!B9</f>
        <v>2</v>
      </c>
      <c r="C3" s="3">
        <f>Evaluation!C9</f>
        <v>3</v>
      </c>
      <c r="D3" s="3">
        <f>Evaluation!D9</f>
        <v>2</v>
      </c>
      <c r="E3" s="3">
        <f>Evaluation!E9</f>
        <v>1</v>
      </c>
      <c r="F3" s="3">
        <f>Evaluation!F9</f>
        <v>3</v>
      </c>
      <c r="G3" s="3">
        <f>Evaluation!G9</f>
        <v>2</v>
      </c>
      <c r="H3" s="3">
        <f>Evaluation!H9</f>
        <v>2</v>
      </c>
      <c r="I3" s="3">
        <f>Evaluation!I9</f>
        <v>1</v>
      </c>
      <c r="J3" s="3">
        <f>Evaluation!J9</f>
        <v>3</v>
      </c>
      <c r="K3" s="3">
        <f>Evaluation!K9</f>
        <v>2</v>
      </c>
      <c r="L3" s="3">
        <f>Evaluation!L9</f>
        <v>2</v>
      </c>
      <c r="M3" s="3">
        <f>Evaluation!M9</f>
        <v>3</v>
      </c>
      <c r="N3" s="3">
        <f>Evaluation!N9</f>
        <v>3</v>
      </c>
      <c r="O3" s="3">
        <f>Evaluation!O9</f>
        <v>2</v>
      </c>
      <c r="P3" s="3">
        <f>Evaluation!P9</f>
        <v>2</v>
      </c>
      <c r="Q3" s="3">
        <f>Evaluation!Q9</f>
        <v>3</v>
      </c>
      <c r="R3" s="3">
        <f>Evaluation!R9</f>
        <v>2</v>
      </c>
      <c r="S3" s="3">
        <f>Evaluation!S9</f>
        <v>1</v>
      </c>
      <c r="T3" s="3">
        <f>Evaluation!T9</f>
        <v>2</v>
      </c>
      <c r="U3" s="3">
        <f>Evaluation!U9</f>
        <v>3</v>
      </c>
    </row>
    <row r="4" spans="1:21">
      <c r="A4" s="3" t="s">
        <v>526</v>
      </c>
      <c r="B4" s="3" t="e">
        <f>Evaluation!B10</f>
        <v>#N/A</v>
      </c>
      <c r="C4" s="3" t="e">
        <f>Evaluation!C10</f>
        <v>#N/A</v>
      </c>
      <c r="D4" s="3" t="e">
        <f>Evaluation!D10</f>
        <v>#N/A</v>
      </c>
      <c r="E4" s="3" t="e">
        <f>Evaluation!E10</f>
        <v>#N/A</v>
      </c>
      <c r="F4" s="3" t="e">
        <f>Evaluation!F10</f>
        <v>#N/A</v>
      </c>
      <c r="G4" s="3" t="e">
        <f>Evaluation!G10</f>
        <v>#N/A</v>
      </c>
      <c r="H4" s="3" t="e">
        <f>Evaluation!H10</f>
        <v>#N/A</v>
      </c>
      <c r="I4" s="3" t="e">
        <f>Evaluation!I10</f>
        <v>#N/A</v>
      </c>
      <c r="J4" s="3" t="e">
        <f>Evaluation!J10</f>
        <v>#N/A</v>
      </c>
      <c r="K4" s="3" t="e">
        <f>Evaluation!K10</f>
        <v>#N/A</v>
      </c>
      <c r="L4" s="3" t="e">
        <f>Evaluation!L10</f>
        <v>#N/A</v>
      </c>
      <c r="M4" s="3" t="e">
        <f>Evaluation!M10</f>
        <v>#N/A</v>
      </c>
      <c r="N4" s="3" t="e">
        <f>Evaluation!N10</f>
        <v>#N/A</v>
      </c>
      <c r="O4" s="3" t="e">
        <f>Evaluation!O10</f>
        <v>#N/A</v>
      </c>
      <c r="P4" s="3" t="e">
        <f>Evaluation!P10</f>
        <v>#N/A</v>
      </c>
      <c r="Q4" s="3" t="e">
        <f>Evaluation!Q10</f>
        <v>#N/A</v>
      </c>
      <c r="R4" s="3" t="e">
        <f>Evaluation!R10</f>
        <v>#N/A</v>
      </c>
      <c r="S4" s="3" t="e">
        <f>Evaluation!S10</f>
        <v>#N/A</v>
      </c>
      <c r="T4" s="3" t="e">
        <f>Evaluation!T10</f>
        <v>#N/A</v>
      </c>
      <c r="U4" s="3" t="e">
        <f>Evaluation!U10</f>
        <v>#N/A</v>
      </c>
    </row>
    <row r="5" spans="1:21">
      <c r="A5" s="3" t="s">
        <v>527</v>
      </c>
      <c r="B5" s="3" t="e">
        <f>Evaluation!B11</f>
        <v>#N/A</v>
      </c>
      <c r="C5" s="3" t="e">
        <f>Evaluation!C11</f>
        <v>#N/A</v>
      </c>
      <c r="D5" s="3" t="e">
        <f>Evaluation!D11</f>
        <v>#N/A</v>
      </c>
      <c r="E5" s="3" t="e">
        <f>Evaluation!E11</f>
        <v>#N/A</v>
      </c>
      <c r="F5" s="3" t="e">
        <f>Evaluation!F11</f>
        <v>#N/A</v>
      </c>
      <c r="G5" s="3" t="e">
        <f>Evaluation!G11</f>
        <v>#N/A</v>
      </c>
      <c r="H5" s="3" t="e">
        <f>Evaluation!H11</f>
        <v>#N/A</v>
      </c>
      <c r="I5" s="3" t="e">
        <f>Evaluation!I11</f>
        <v>#N/A</v>
      </c>
      <c r="J5" s="3" t="e">
        <f>Evaluation!J11</f>
        <v>#N/A</v>
      </c>
      <c r="K5" s="3" t="e">
        <f>Evaluation!K11</f>
        <v>#N/A</v>
      </c>
      <c r="L5" s="3" t="e">
        <f>Evaluation!L11</f>
        <v>#N/A</v>
      </c>
      <c r="M5" s="3" t="e">
        <f>Evaluation!M11</f>
        <v>#N/A</v>
      </c>
      <c r="N5" s="3" t="e">
        <f>Evaluation!N11</f>
        <v>#N/A</v>
      </c>
      <c r="O5" s="3" t="e">
        <f>Evaluation!O11</f>
        <v>#N/A</v>
      </c>
      <c r="P5" s="3" t="e">
        <f>Evaluation!P11</f>
        <v>#N/A</v>
      </c>
      <c r="Q5" s="3" t="e">
        <f>Evaluation!Q11</f>
        <v>#N/A</v>
      </c>
      <c r="R5" s="3" t="e">
        <f>Evaluation!R11</f>
        <v>#N/A</v>
      </c>
      <c r="S5" s="3" t="e">
        <f>Evaluation!S11</f>
        <v>#N/A</v>
      </c>
      <c r="T5" s="3" t="e">
        <f>Evaluation!T11</f>
        <v>#N/A</v>
      </c>
      <c r="U5" s="3" t="e">
        <f>Evaluation!U11</f>
        <v>#N/A</v>
      </c>
    </row>
    <row r="6" spans="1:21">
      <c r="A6" s="3" t="s">
        <v>528</v>
      </c>
      <c r="B6" s="3" t="e">
        <f>Evaluation!B12</f>
        <v>#N/A</v>
      </c>
      <c r="C6" s="3" t="e">
        <f>Evaluation!C12</f>
        <v>#N/A</v>
      </c>
      <c r="D6" s="3" t="e">
        <f>Evaluation!D12</f>
        <v>#N/A</v>
      </c>
      <c r="E6" s="3" t="e">
        <f>Evaluation!E12</f>
        <v>#N/A</v>
      </c>
      <c r="F6" s="3" t="e">
        <f>Evaluation!F12</f>
        <v>#N/A</v>
      </c>
      <c r="G6" s="3" t="e">
        <f>Evaluation!G12</f>
        <v>#N/A</v>
      </c>
      <c r="H6" s="3" t="e">
        <f>Evaluation!H12</f>
        <v>#N/A</v>
      </c>
      <c r="I6" s="3" t="e">
        <f>Evaluation!I12</f>
        <v>#N/A</v>
      </c>
      <c r="J6" s="3" t="e">
        <f>Evaluation!J12</f>
        <v>#N/A</v>
      </c>
      <c r="K6" s="3" t="e">
        <f>Evaluation!K12</f>
        <v>#N/A</v>
      </c>
      <c r="L6" s="3" t="e">
        <f>Evaluation!L12</f>
        <v>#N/A</v>
      </c>
      <c r="M6" s="3" t="e">
        <f>Evaluation!M12</f>
        <v>#N/A</v>
      </c>
      <c r="N6" s="3" t="e">
        <f>Evaluation!N12</f>
        <v>#N/A</v>
      </c>
      <c r="O6" s="3" t="e">
        <f>Evaluation!O12</f>
        <v>#N/A</v>
      </c>
      <c r="P6" s="3" t="e">
        <f>Evaluation!P12</f>
        <v>#N/A</v>
      </c>
      <c r="Q6" s="3" t="e">
        <f>Evaluation!Q12</f>
        <v>#N/A</v>
      </c>
      <c r="R6" s="3" t="e">
        <f>Evaluation!R12</f>
        <v>#N/A</v>
      </c>
      <c r="S6" s="3" t="e">
        <f>Evaluation!S12</f>
        <v>#N/A</v>
      </c>
      <c r="T6" s="3" t="e">
        <f>Evaluation!T12</f>
        <v>#N/A</v>
      </c>
      <c r="U6" s="3" t="e">
        <f>Evaluation!U12</f>
        <v>#N/A</v>
      </c>
    </row>
    <row r="7" spans="1:21">
      <c r="A7" s="3" t="s">
        <v>529</v>
      </c>
      <c r="B7" s="3" t="e">
        <f>Evaluation!B13</f>
        <v>#N/A</v>
      </c>
      <c r="C7" s="3" t="e">
        <f>Evaluation!C13</f>
        <v>#N/A</v>
      </c>
      <c r="D7" s="3" t="e">
        <f>Evaluation!D13</f>
        <v>#N/A</v>
      </c>
      <c r="E7" s="3" t="e">
        <f>Evaluation!E13</f>
        <v>#N/A</v>
      </c>
      <c r="F7" s="3" t="e">
        <f>Evaluation!F13</f>
        <v>#N/A</v>
      </c>
      <c r="G7" s="3" t="e">
        <f>Evaluation!G13</f>
        <v>#N/A</v>
      </c>
      <c r="H7" s="3" t="e">
        <f>Evaluation!H13</f>
        <v>#N/A</v>
      </c>
      <c r="I7" s="3" t="e">
        <f>Evaluation!I13</f>
        <v>#N/A</v>
      </c>
      <c r="J7" s="3" t="e">
        <f>Evaluation!J13</f>
        <v>#N/A</v>
      </c>
      <c r="K7" s="3" t="e">
        <f>Evaluation!K13</f>
        <v>#N/A</v>
      </c>
      <c r="L7" s="3" t="e">
        <f>Evaluation!L13</f>
        <v>#N/A</v>
      </c>
      <c r="M7" s="3" t="e">
        <f>Evaluation!M13</f>
        <v>#N/A</v>
      </c>
      <c r="N7" s="3" t="e">
        <f>Evaluation!N13</f>
        <v>#N/A</v>
      </c>
      <c r="O7" s="3" t="e">
        <f>Evaluation!O13</f>
        <v>#N/A</v>
      </c>
      <c r="P7" s="3" t="e">
        <f>Evaluation!P13</f>
        <v>#N/A</v>
      </c>
      <c r="Q7" s="3" t="e">
        <f>Evaluation!Q13</f>
        <v>#N/A</v>
      </c>
      <c r="R7" s="3" t="e">
        <f>Evaluation!R13</f>
        <v>#N/A</v>
      </c>
      <c r="S7" s="3" t="e">
        <f>Evaluation!S13</f>
        <v>#N/A</v>
      </c>
      <c r="T7" s="3" t="e">
        <f>Evaluation!T13</f>
        <v>#N/A</v>
      </c>
      <c r="U7" s="3" t="e">
        <f>Evaluation!U13</f>
        <v>#N/A</v>
      </c>
    </row>
    <row r="8" spans="1:21">
      <c r="A8" s="3" t="s">
        <v>530</v>
      </c>
      <c r="B8" s="3">
        <f>Evaluation!B14</f>
        <v>2</v>
      </c>
      <c r="C8" s="3">
        <f>Evaluation!C14</f>
        <v>3</v>
      </c>
      <c r="D8" s="3">
        <f>Evaluation!D14</f>
        <v>3</v>
      </c>
      <c r="E8" s="3">
        <f>Evaluation!E14</f>
        <v>1</v>
      </c>
      <c r="F8" s="3">
        <f>Evaluation!F14</f>
        <v>2</v>
      </c>
      <c r="G8" s="3">
        <f>Evaluation!G14</f>
        <v>2</v>
      </c>
      <c r="H8" s="3">
        <f>Evaluation!H14</f>
        <v>1</v>
      </c>
      <c r="I8" s="3">
        <f>Evaluation!I14</f>
        <v>3</v>
      </c>
      <c r="J8" s="3">
        <f>Evaluation!J14</f>
        <v>2</v>
      </c>
      <c r="K8" s="3">
        <f>Evaluation!K14</f>
        <v>3</v>
      </c>
      <c r="L8" s="3">
        <f>Evaluation!L14</f>
        <v>4</v>
      </c>
      <c r="M8" s="3">
        <f>Evaluation!M14</f>
        <v>4</v>
      </c>
      <c r="N8" s="3">
        <f>Evaluation!N14</f>
        <v>2</v>
      </c>
      <c r="O8" s="3">
        <f>Evaluation!O14</f>
        <v>3</v>
      </c>
      <c r="P8" s="3">
        <f>Evaluation!P14</f>
        <v>4</v>
      </c>
      <c r="Q8" s="3">
        <f>Evaluation!Q14</f>
        <v>4</v>
      </c>
      <c r="R8" s="3">
        <f>Evaluation!R14</f>
        <v>2</v>
      </c>
      <c r="S8" s="3">
        <f>Evaluation!S14</f>
        <v>1</v>
      </c>
      <c r="T8" s="3">
        <f>Evaluation!T14</f>
        <v>2</v>
      </c>
      <c r="U8" s="3">
        <f>Evaluation!U14</f>
        <v>3</v>
      </c>
    </row>
    <row r="9" spans="1:21">
      <c r="A9" s="3" t="s">
        <v>531</v>
      </c>
      <c r="B9" s="3">
        <f>Evaluation!B15</f>
        <v>1</v>
      </c>
      <c r="C9" s="3">
        <f>Evaluation!C15</f>
        <v>2</v>
      </c>
      <c r="D9" s="3">
        <f>Evaluation!D15</f>
        <v>2</v>
      </c>
      <c r="E9" s="3">
        <f>Evaluation!E15</f>
        <v>1</v>
      </c>
      <c r="F9" s="3">
        <f>Evaluation!F15</f>
        <v>1</v>
      </c>
      <c r="G9" s="3">
        <f>Evaluation!G15</f>
        <v>1</v>
      </c>
      <c r="H9" s="3">
        <f>Evaluation!H15</f>
        <v>1</v>
      </c>
      <c r="I9" s="3">
        <f>Evaluation!I15</f>
        <v>2</v>
      </c>
      <c r="J9" s="3">
        <f>Evaluation!J15</f>
        <v>1</v>
      </c>
      <c r="K9" s="3">
        <f>Evaluation!K15</f>
        <v>1</v>
      </c>
      <c r="L9" s="3">
        <f>Evaluation!L15</f>
        <v>1</v>
      </c>
      <c r="M9" s="3">
        <f>Evaluation!M15</f>
        <v>1</v>
      </c>
      <c r="N9" s="3">
        <f>Evaluation!N15</f>
        <v>1</v>
      </c>
      <c r="O9" s="3">
        <f>Evaluation!O15</f>
        <v>1</v>
      </c>
      <c r="P9" s="3">
        <f>Evaluation!P15</f>
        <v>2</v>
      </c>
      <c r="Q9" s="3">
        <f>Evaluation!Q15</f>
        <v>2</v>
      </c>
      <c r="R9" s="3">
        <f>Evaluation!R15</f>
        <v>1</v>
      </c>
      <c r="S9" s="3">
        <f>Evaluation!S15</f>
        <v>2</v>
      </c>
      <c r="T9" s="3">
        <f>Evaluation!T15</f>
        <v>1</v>
      </c>
      <c r="U9" s="3">
        <f>Evaluation!U15</f>
        <v>1</v>
      </c>
    </row>
    <row r="10" spans="1:21">
      <c r="A10" s="3" t="s">
        <v>532</v>
      </c>
      <c r="B10" s="3">
        <f>Evaluation!B16</f>
        <v>4</v>
      </c>
      <c r="C10" s="3">
        <f>Evaluation!C16</f>
        <v>4</v>
      </c>
      <c r="D10" s="3">
        <f>Evaluation!D16</f>
        <v>3</v>
      </c>
      <c r="E10" s="3">
        <f>Evaluation!E16</f>
        <v>2</v>
      </c>
      <c r="F10" s="3">
        <f>Evaluation!F16</f>
        <v>4</v>
      </c>
      <c r="G10" s="3">
        <f>Evaluation!G16</f>
        <v>3</v>
      </c>
      <c r="H10" s="3">
        <f>Evaluation!H16</f>
        <v>2</v>
      </c>
      <c r="I10" s="3">
        <f>Evaluation!I16</f>
        <v>2</v>
      </c>
      <c r="J10" s="3">
        <f>Evaluation!J16</f>
        <v>3</v>
      </c>
      <c r="K10" s="3">
        <f>Evaluation!K16</f>
        <v>4</v>
      </c>
      <c r="L10" s="3">
        <f>Evaluation!L16</f>
        <v>4</v>
      </c>
      <c r="M10" s="3">
        <f>Evaluation!M16</f>
        <v>4</v>
      </c>
      <c r="N10" s="3">
        <f>Evaluation!N16</f>
        <v>3</v>
      </c>
      <c r="O10" s="3">
        <f>Evaluation!O16</f>
        <v>3</v>
      </c>
      <c r="P10" s="3">
        <f>Evaluation!P16</f>
        <v>3</v>
      </c>
      <c r="Q10" s="3">
        <f>Evaluation!Q16</f>
        <v>4</v>
      </c>
      <c r="R10" s="3">
        <f>Evaluation!R16</f>
        <v>3</v>
      </c>
      <c r="S10" s="3">
        <f>Evaluation!S16</f>
        <v>1</v>
      </c>
      <c r="T10" s="3">
        <f>Evaluation!T16</f>
        <v>3</v>
      </c>
      <c r="U10" s="3">
        <f>Evaluation!U16</f>
        <v>3</v>
      </c>
    </row>
    <row r="11" spans="1:21">
      <c r="A11" s="3" t="s">
        <v>4</v>
      </c>
      <c r="B11" s="3">
        <f>Evaluation!B17</f>
        <v>3</v>
      </c>
      <c r="C11" s="3">
        <f>Evaluation!C17</f>
        <v>3</v>
      </c>
      <c r="D11" s="3">
        <f>Evaluation!D17</f>
        <v>2</v>
      </c>
      <c r="E11" s="3">
        <f>Evaluation!E17</f>
        <v>2</v>
      </c>
      <c r="F11" s="3">
        <f>Evaluation!F17</f>
        <v>3</v>
      </c>
      <c r="G11" s="3">
        <f>Evaluation!G17</f>
        <v>2</v>
      </c>
      <c r="H11" s="3">
        <f>Evaluation!H17</f>
        <v>1</v>
      </c>
      <c r="I11" s="3">
        <f>Evaluation!I17</f>
        <v>2</v>
      </c>
      <c r="J11" s="3">
        <f>Evaluation!J17</f>
        <v>2</v>
      </c>
      <c r="K11" s="3">
        <f>Evaluation!K17</f>
        <v>3</v>
      </c>
      <c r="L11" s="3">
        <f>Evaluation!L17</f>
        <v>3</v>
      </c>
      <c r="M11" s="3">
        <f>Evaluation!M17</f>
        <v>3</v>
      </c>
      <c r="N11" s="3">
        <f>Evaluation!N17</f>
        <v>2</v>
      </c>
      <c r="O11" s="3">
        <f>Evaluation!O17</f>
        <v>2</v>
      </c>
      <c r="P11" s="3">
        <f>Evaluation!P17</f>
        <v>2</v>
      </c>
      <c r="Q11" s="3">
        <f>Evaluation!Q17</f>
        <v>3</v>
      </c>
      <c r="R11" s="3">
        <f>Evaluation!R17</f>
        <v>2</v>
      </c>
      <c r="S11" s="3">
        <f>Evaluation!S17</f>
        <v>1</v>
      </c>
      <c r="T11" s="3">
        <f>Evaluation!T17</f>
        <v>2</v>
      </c>
      <c r="U11" s="3">
        <f>Evaluation!U17</f>
        <v>2</v>
      </c>
    </row>
    <row r="12" spans="1:21">
      <c r="A12" s="3" t="s">
        <v>533</v>
      </c>
      <c r="B12" s="3">
        <f>Evaluation!B18</f>
        <v>2</v>
      </c>
      <c r="C12" s="3">
        <f>Evaluation!C18</f>
        <v>3</v>
      </c>
      <c r="D12" s="3">
        <f>Evaluation!D18</f>
        <v>3</v>
      </c>
      <c r="E12" s="3">
        <f>Evaluation!E18</f>
        <v>2</v>
      </c>
      <c r="F12" s="3">
        <f>Evaluation!F18</f>
        <v>2</v>
      </c>
      <c r="G12" s="3">
        <f>Evaluation!G18</f>
        <v>2</v>
      </c>
      <c r="H12" s="3">
        <f>Evaluation!H18</f>
        <v>3</v>
      </c>
      <c r="I12" s="3">
        <f>Evaluation!I18</f>
        <v>2</v>
      </c>
      <c r="J12" s="3">
        <f>Evaluation!J18</f>
        <v>2</v>
      </c>
      <c r="K12" s="3">
        <f>Evaluation!K18</f>
        <v>3</v>
      </c>
      <c r="L12" s="3">
        <f>Evaluation!L18</f>
        <v>2</v>
      </c>
      <c r="M12" s="3">
        <f>Evaluation!M18</f>
        <v>3</v>
      </c>
      <c r="N12" s="3">
        <f>Evaluation!N18</f>
        <v>2</v>
      </c>
      <c r="O12" s="3">
        <f>Evaluation!O18</f>
        <v>2</v>
      </c>
      <c r="P12" s="3">
        <f>Evaluation!P18</f>
        <v>3</v>
      </c>
      <c r="Q12" s="3">
        <f>Evaluation!Q18</f>
        <v>2</v>
      </c>
      <c r="R12" s="3">
        <f>Evaluation!R18</f>
        <v>2</v>
      </c>
      <c r="S12" s="3">
        <f>Evaluation!S18</f>
        <v>1</v>
      </c>
      <c r="T12" s="3">
        <f>Evaluation!T18</f>
        <v>2</v>
      </c>
      <c r="U12" s="3">
        <f>Evaluation!U18</f>
        <v>3</v>
      </c>
    </row>
    <row r="13" spans="1:21">
      <c r="A13" s="3" t="s">
        <v>534</v>
      </c>
      <c r="B13" s="3">
        <f>Evaluation!B19</f>
        <v>3</v>
      </c>
      <c r="C13" s="3">
        <f>Evaluation!C19</f>
        <v>3</v>
      </c>
      <c r="D13" s="3">
        <f>Evaluation!D19</f>
        <v>2</v>
      </c>
      <c r="E13" s="3">
        <f>Evaluation!E19</f>
        <v>1</v>
      </c>
      <c r="F13" s="3">
        <f>Evaluation!F19</f>
        <v>3</v>
      </c>
      <c r="G13" s="3">
        <f>Evaluation!G19</f>
        <v>2</v>
      </c>
      <c r="H13" s="3">
        <f>Evaluation!H19</f>
        <v>1</v>
      </c>
      <c r="I13" s="3">
        <f>Evaluation!I19</f>
        <v>1</v>
      </c>
      <c r="J13" s="3">
        <f>Evaluation!J19</f>
        <v>2</v>
      </c>
      <c r="K13" s="3">
        <f>Evaluation!K19</f>
        <v>3</v>
      </c>
      <c r="L13" s="3">
        <f>Evaluation!L19</f>
        <v>3</v>
      </c>
      <c r="M13" s="3">
        <f>Evaluation!M19</f>
        <v>3</v>
      </c>
      <c r="N13" s="3">
        <f>Evaluation!N19</f>
        <v>3</v>
      </c>
      <c r="O13" s="3">
        <f>Evaluation!O19</f>
        <v>3</v>
      </c>
      <c r="P13" s="3">
        <f>Evaluation!P19</f>
        <v>2</v>
      </c>
      <c r="Q13" s="3">
        <f>Evaluation!Q19</f>
        <v>3</v>
      </c>
      <c r="R13" s="3">
        <f>Evaluation!R19</f>
        <v>2</v>
      </c>
      <c r="S13" s="3">
        <f>Evaluation!S19</f>
        <v>1</v>
      </c>
      <c r="T13" s="3">
        <f>Evaluation!T19</f>
        <v>2</v>
      </c>
      <c r="U13" s="3">
        <f>Evaluation!U19</f>
        <v>2</v>
      </c>
    </row>
    <row r="14" spans="1:21">
      <c r="A14" s="3" t="s">
        <v>535</v>
      </c>
      <c r="B14" s="3">
        <f>Evaluation!B20</f>
        <v>2</v>
      </c>
      <c r="C14" s="3">
        <f>Evaluation!C20</f>
        <v>2</v>
      </c>
      <c r="D14" s="3">
        <f>Evaluation!D20</f>
        <v>2</v>
      </c>
      <c r="E14" s="3">
        <f>Evaluation!E20</f>
        <v>1</v>
      </c>
      <c r="F14" s="3">
        <f>Evaluation!F20</f>
        <v>2</v>
      </c>
      <c r="G14" s="3">
        <f>Evaluation!G20</f>
        <v>2</v>
      </c>
      <c r="H14" s="3">
        <f>Evaluation!H20</f>
        <v>2</v>
      </c>
      <c r="I14" s="3">
        <f>Evaluation!I20</f>
        <v>3</v>
      </c>
      <c r="J14" s="3">
        <f>Evaluation!J20</f>
        <v>2</v>
      </c>
      <c r="K14" s="3">
        <f>Evaluation!K20</f>
        <v>3</v>
      </c>
      <c r="L14" s="3">
        <f>Evaluation!L20</f>
        <v>4</v>
      </c>
      <c r="M14" s="3">
        <f>Evaluation!M20</f>
        <v>4</v>
      </c>
      <c r="N14" s="3">
        <f>Evaluation!N20</f>
        <v>2</v>
      </c>
      <c r="O14" s="3">
        <f>Evaluation!O20</f>
        <v>3</v>
      </c>
      <c r="P14" s="3">
        <f>Evaluation!P20</f>
        <v>3</v>
      </c>
      <c r="Q14" s="3">
        <f>Evaluation!Q20</f>
        <v>4</v>
      </c>
      <c r="R14" s="3">
        <f>Evaluation!R20</f>
        <v>2</v>
      </c>
      <c r="S14" s="3">
        <f>Evaluation!S20</f>
        <v>1</v>
      </c>
      <c r="T14" s="3">
        <f>Evaluation!T20</f>
        <v>1</v>
      </c>
      <c r="U14" s="3">
        <f>Evaluation!U20</f>
        <v>3</v>
      </c>
    </row>
    <row r="15" spans="1:21">
      <c r="A15" s="3" t="s">
        <v>536</v>
      </c>
      <c r="B15" s="3">
        <f>Evaluation!B21</f>
        <v>1</v>
      </c>
      <c r="C15" s="3">
        <f>Evaluation!C21</f>
        <v>1</v>
      </c>
      <c r="D15" s="3">
        <f>Evaluation!D21</f>
        <v>1</v>
      </c>
      <c r="E15" s="3">
        <f>Evaluation!E21</f>
        <v>1</v>
      </c>
      <c r="F15" s="3">
        <f>Evaluation!F21</f>
        <v>2</v>
      </c>
      <c r="G15" s="3">
        <f>Evaluation!G21</f>
        <v>2</v>
      </c>
      <c r="H15" s="3">
        <f>Evaluation!H21</f>
        <v>1</v>
      </c>
      <c r="I15" s="3">
        <f>Evaluation!I21</f>
        <v>2</v>
      </c>
      <c r="J15" s="3">
        <f>Evaluation!J21</f>
        <v>2</v>
      </c>
      <c r="K15" s="3">
        <f>Evaluation!K21</f>
        <v>2</v>
      </c>
      <c r="L15" s="3">
        <f>Evaluation!L21</f>
        <v>3</v>
      </c>
      <c r="M15" s="3">
        <f>Evaluation!M21</f>
        <v>3</v>
      </c>
      <c r="N15" s="3">
        <f>Evaluation!N21</f>
        <v>2</v>
      </c>
      <c r="O15" s="3">
        <f>Evaluation!O21</f>
        <v>3</v>
      </c>
      <c r="P15" s="3">
        <f>Evaluation!P21</f>
        <v>2</v>
      </c>
      <c r="Q15" s="3">
        <f>Evaluation!Q21</f>
        <v>3</v>
      </c>
      <c r="R15" s="3">
        <f>Evaluation!R21</f>
        <v>2</v>
      </c>
      <c r="S15" s="3">
        <f>Evaluation!S21</f>
        <v>1</v>
      </c>
      <c r="T15" s="3">
        <f>Evaluation!T21</f>
        <v>1</v>
      </c>
      <c r="U15" s="3">
        <f>Evaluation!U21</f>
        <v>2</v>
      </c>
    </row>
    <row r="16" spans="1:21">
      <c r="A16" s="3" t="s">
        <v>537</v>
      </c>
      <c r="B16" s="3">
        <f>Evaluation!B22</f>
        <v>2</v>
      </c>
      <c r="C16" s="3">
        <f>Evaluation!C22</f>
        <v>2</v>
      </c>
      <c r="D16" s="3">
        <f>Evaluation!D22</f>
        <v>2</v>
      </c>
      <c r="E16" s="3">
        <f>Evaluation!E22</f>
        <v>1</v>
      </c>
      <c r="F16" s="3">
        <f>Evaluation!F22</f>
        <v>1</v>
      </c>
      <c r="G16" s="3">
        <f>Evaluation!G22</f>
        <v>1</v>
      </c>
      <c r="H16" s="3">
        <f>Evaluation!H22</f>
        <v>1</v>
      </c>
      <c r="I16" s="3">
        <f>Evaluation!I22</f>
        <v>2</v>
      </c>
      <c r="J16" s="3">
        <f>Evaluation!J22</f>
        <v>1</v>
      </c>
      <c r="K16" s="3">
        <f>Evaluation!K22</f>
        <v>2</v>
      </c>
      <c r="L16" s="3">
        <f>Evaluation!L22</f>
        <v>2</v>
      </c>
      <c r="M16" s="3">
        <f>Evaluation!M22</f>
        <v>2</v>
      </c>
      <c r="N16" s="3">
        <f>Evaluation!N22</f>
        <v>1</v>
      </c>
      <c r="O16" s="3">
        <f>Evaluation!O22</f>
        <v>1</v>
      </c>
      <c r="P16" s="3">
        <f>Evaluation!P22</f>
        <v>2</v>
      </c>
      <c r="Q16" s="3">
        <f>Evaluation!Q22</f>
        <v>2</v>
      </c>
      <c r="R16" s="3">
        <f>Evaluation!R22</f>
        <v>1</v>
      </c>
      <c r="S16" s="3">
        <f>Evaluation!S22</f>
        <v>1</v>
      </c>
      <c r="T16" s="3">
        <f>Evaluation!T22</f>
        <v>1</v>
      </c>
      <c r="U16" s="3">
        <f>Evaluation!U22</f>
        <v>1</v>
      </c>
    </row>
    <row r="17" spans="1:21">
      <c r="A17" s="3" t="s">
        <v>533</v>
      </c>
      <c r="B17" s="3">
        <f>Evaluation!B23</f>
        <v>2</v>
      </c>
      <c r="C17" s="3">
        <f>Evaluation!C23</f>
        <v>3</v>
      </c>
      <c r="D17" s="3">
        <f>Evaluation!D23</f>
        <v>3</v>
      </c>
      <c r="E17" s="3">
        <f>Evaluation!E23</f>
        <v>2</v>
      </c>
      <c r="F17" s="3">
        <f>Evaluation!F23</f>
        <v>2</v>
      </c>
      <c r="G17" s="3">
        <f>Evaluation!G23</f>
        <v>2</v>
      </c>
      <c r="H17" s="3">
        <f>Evaluation!H23</f>
        <v>3</v>
      </c>
      <c r="I17" s="3">
        <f>Evaluation!I23</f>
        <v>2</v>
      </c>
      <c r="J17" s="3">
        <f>Evaluation!J23</f>
        <v>2</v>
      </c>
      <c r="K17" s="3">
        <f>Evaluation!K23</f>
        <v>3</v>
      </c>
      <c r="L17" s="3">
        <f>Evaluation!L23</f>
        <v>2</v>
      </c>
      <c r="M17" s="3">
        <f>Evaluation!M23</f>
        <v>3</v>
      </c>
      <c r="N17" s="3">
        <f>Evaluation!N23</f>
        <v>2</v>
      </c>
      <c r="O17" s="3">
        <f>Evaluation!O23</f>
        <v>2</v>
      </c>
      <c r="P17" s="3">
        <f>Evaluation!P23</f>
        <v>3</v>
      </c>
      <c r="Q17" s="3">
        <f>Evaluation!Q23</f>
        <v>2</v>
      </c>
      <c r="R17" s="3">
        <f>Evaluation!R23</f>
        <v>2</v>
      </c>
      <c r="S17" s="3">
        <f>Evaluation!S23</f>
        <v>1</v>
      </c>
      <c r="T17" s="3">
        <f>Evaluation!T23</f>
        <v>2</v>
      </c>
      <c r="U17" s="3">
        <f>Evaluation!U23</f>
        <v>3</v>
      </c>
    </row>
    <row r="18" spans="1:21">
      <c r="A18" s="3" t="s">
        <v>538</v>
      </c>
      <c r="B18" s="3" t="e">
        <f>Evaluation!B24</f>
        <v>#N/A</v>
      </c>
      <c r="C18" s="3" t="e">
        <f>Evaluation!C24</f>
        <v>#N/A</v>
      </c>
      <c r="D18" s="3" t="e">
        <f>Evaluation!D24</f>
        <v>#N/A</v>
      </c>
      <c r="E18" s="3" t="e">
        <f>Evaluation!E24</f>
        <v>#N/A</v>
      </c>
      <c r="F18" s="3" t="e">
        <f>Evaluation!F24</f>
        <v>#N/A</v>
      </c>
      <c r="G18" s="3" t="e">
        <f>Evaluation!G24</f>
        <v>#N/A</v>
      </c>
      <c r="H18" s="3" t="e">
        <f>Evaluation!H24</f>
        <v>#N/A</v>
      </c>
      <c r="I18" s="3" t="e">
        <f>Evaluation!I24</f>
        <v>#N/A</v>
      </c>
      <c r="J18" s="3" t="e">
        <f>Evaluation!J24</f>
        <v>#N/A</v>
      </c>
      <c r="K18" s="3" t="e">
        <f>Evaluation!K24</f>
        <v>#N/A</v>
      </c>
      <c r="L18" s="3" t="e">
        <f>Evaluation!L24</f>
        <v>#N/A</v>
      </c>
      <c r="M18" s="3" t="e">
        <f>Evaluation!M24</f>
        <v>#N/A</v>
      </c>
      <c r="N18" s="3" t="e">
        <f>Evaluation!N24</f>
        <v>#N/A</v>
      </c>
      <c r="O18" s="3" t="e">
        <f>Evaluation!O24</f>
        <v>#N/A</v>
      </c>
      <c r="P18" s="3" t="e">
        <f>Evaluation!P24</f>
        <v>#N/A</v>
      </c>
      <c r="Q18" s="3" t="e">
        <f>Evaluation!Q24</f>
        <v>#N/A</v>
      </c>
      <c r="R18" s="3" t="e">
        <f>Evaluation!R24</f>
        <v>#N/A</v>
      </c>
      <c r="S18" s="3" t="e">
        <f>Evaluation!S24</f>
        <v>#N/A</v>
      </c>
      <c r="T18" s="3" t="e">
        <f>Evaluation!T24</f>
        <v>#N/A</v>
      </c>
      <c r="U18" s="3" t="e">
        <f>Evaluation!U24</f>
        <v>#N/A</v>
      </c>
    </row>
    <row r="19" spans="1:21">
      <c r="A19" s="3" t="s">
        <v>539</v>
      </c>
      <c r="B19" s="3" t="e">
        <f>Evaluation!B25</f>
        <v>#N/A</v>
      </c>
      <c r="C19" s="3" t="e">
        <f>Evaluation!C25</f>
        <v>#N/A</v>
      </c>
      <c r="D19" s="3" t="e">
        <f>Evaluation!D25</f>
        <v>#N/A</v>
      </c>
      <c r="E19" s="3" t="e">
        <f>Evaluation!E25</f>
        <v>#N/A</v>
      </c>
      <c r="F19" s="3" t="e">
        <f>Evaluation!F25</f>
        <v>#N/A</v>
      </c>
      <c r="G19" s="3" t="e">
        <f>Evaluation!G25</f>
        <v>#N/A</v>
      </c>
      <c r="H19" s="3" t="e">
        <f>Evaluation!H25</f>
        <v>#N/A</v>
      </c>
      <c r="I19" s="3" t="e">
        <f>Evaluation!I25</f>
        <v>#N/A</v>
      </c>
      <c r="J19" s="3" t="e">
        <f>Evaluation!J25</f>
        <v>#N/A</v>
      </c>
      <c r="K19" s="3" t="e">
        <f>Evaluation!K25</f>
        <v>#N/A</v>
      </c>
      <c r="L19" s="3" t="e">
        <f>Evaluation!L25</f>
        <v>#N/A</v>
      </c>
      <c r="M19" s="3" t="e">
        <f>Evaluation!M25</f>
        <v>#N/A</v>
      </c>
      <c r="N19" s="3" t="e">
        <f>Evaluation!N25</f>
        <v>#N/A</v>
      </c>
      <c r="O19" s="3" t="e">
        <f>Evaluation!O25</f>
        <v>#N/A</v>
      </c>
      <c r="P19" s="3" t="e">
        <f>Evaluation!P25</f>
        <v>#N/A</v>
      </c>
      <c r="Q19" s="3" t="e">
        <f>Evaluation!Q25</f>
        <v>#N/A</v>
      </c>
      <c r="R19" s="3" t="e">
        <f>Evaluation!R25</f>
        <v>#N/A</v>
      </c>
      <c r="S19" s="3" t="e">
        <f>Evaluation!S25</f>
        <v>#N/A</v>
      </c>
      <c r="T19" s="3" t="e">
        <f>Evaluation!T25</f>
        <v>#N/A</v>
      </c>
      <c r="U19" s="3" t="e">
        <f>Evaluation!U25</f>
        <v>#N/A</v>
      </c>
    </row>
    <row r="20" spans="1:21">
      <c r="A20" s="3" t="s">
        <v>540</v>
      </c>
      <c r="B20" s="3" t="e">
        <f>Evaluation!B26</f>
        <v>#N/A</v>
      </c>
      <c r="C20" s="3" t="e">
        <f>Evaluation!C26</f>
        <v>#N/A</v>
      </c>
      <c r="D20" s="3" t="e">
        <f>Evaluation!D26</f>
        <v>#N/A</v>
      </c>
      <c r="E20" s="3" t="e">
        <f>Evaluation!E26</f>
        <v>#N/A</v>
      </c>
      <c r="F20" s="3" t="e">
        <f>Evaluation!F26</f>
        <v>#N/A</v>
      </c>
      <c r="G20" s="3" t="e">
        <f>Evaluation!G26</f>
        <v>#N/A</v>
      </c>
      <c r="H20" s="3" t="e">
        <f>Evaluation!H26</f>
        <v>#N/A</v>
      </c>
      <c r="I20" s="3" t="e">
        <f>Evaluation!I26</f>
        <v>#N/A</v>
      </c>
      <c r="J20" s="3" t="e">
        <f>Evaluation!J26</f>
        <v>#N/A</v>
      </c>
      <c r="K20" s="3" t="e">
        <f>Evaluation!K26</f>
        <v>#N/A</v>
      </c>
      <c r="L20" s="3" t="e">
        <f>Evaluation!L26</f>
        <v>#N/A</v>
      </c>
      <c r="M20" s="3" t="e">
        <f>Evaluation!M26</f>
        <v>#N/A</v>
      </c>
      <c r="N20" s="3" t="e">
        <f>Evaluation!N26</f>
        <v>#N/A</v>
      </c>
      <c r="O20" s="3" t="e">
        <f>Evaluation!O26</f>
        <v>#N/A</v>
      </c>
      <c r="P20" s="3" t="e">
        <f>Evaluation!P26</f>
        <v>#N/A</v>
      </c>
      <c r="Q20" s="3" t="e">
        <f>Evaluation!Q26</f>
        <v>#N/A</v>
      </c>
      <c r="R20" s="3" t="e">
        <f>Evaluation!R26</f>
        <v>#N/A</v>
      </c>
      <c r="S20" s="3" t="e">
        <f>Evaluation!S26</f>
        <v>#N/A</v>
      </c>
      <c r="T20" s="3" t="e">
        <f>Evaluation!T26</f>
        <v>#N/A</v>
      </c>
      <c r="U20" s="3" t="e">
        <f>Evaluation!U26</f>
        <v>#N/A</v>
      </c>
    </row>
    <row r="21" spans="1:21">
      <c r="A21" s="3" t="s">
        <v>541</v>
      </c>
      <c r="B21" s="3">
        <f>Evaluation!B27</f>
        <v>3</v>
      </c>
      <c r="C21" s="3">
        <f>Evaluation!C27</f>
        <v>3</v>
      </c>
      <c r="D21" s="3">
        <f>Evaluation!D27</f>
        <v>1</v>
      </c>
      <c r="E21" s="3">
        <f>Evaluation!E27</f>
        <v>3</v>
      </c>
      <c r="F21" s="3">
        <f>Evaluation!F27</f>
        <v>1</v>
      </c>
      <c r="G21" s="3">
        <f>Evaluation!G27</f>
        <v>3</v>
      </c>
      <c r="H21" s="3">
        <f>Evaluation!H27</f>
        <v>3</v>
      </c>
      <c r="I21" s="3">
        <f>Evaluation!I27</f>
        <v>2</v>
      </c>
      <c r="J21" s="3">
        <f>Evaluation!J27</f>
        <v>3</v>
      </c>
      <c r="K21" s="3">
        <f>Evaluation!K27</f>
        <v>1</v>
      </c>
      <c r="L21" s="3">
        <f>Evaluation!L27</f>
        <v>1</v>
      </c>
      <c r="M21" s="3">
        <f>Evaluation!M27</f>
        <v>3</v>
      </c>
      <c r="N21" s="3">
        <f>Evaluation!N27</f>
        <v>1</v>
      </c>
      <c r="O21" s="3">
        <f>Evaluation!O27</f>
        <v>1</v>
      </c>
      <c r="P21" s="3">
        <f>Evaluation!P27</f>
        <v>2</v>
      </c>
      <c r="Q21" s="3">
        <f>Evaluation!Q27</f>
        <v>3</v>
      </c>
      <c r="R21" s="3">
        <f>Evaluation!R27</f>
        <v>1</v>
      </c>
      <c r="S21" s="3">
        <f>Evaluation!S27</f>
        <v>2</v>
      </c>
      <c r="T21" s="3">
        <f>Evaluation!T27</f>
        <v>3</v>
      </c>
      <c r="U21" s="3">
        <f>Evaluation!U27</f>
        <v>3</v>
      </c>
    </row>
    <row r="22" spans="1:21">
      <c r="A22" s="3" t="s">
        <v>542</v>
      </c>
      <c r="B22" s="3" t="e">
        <f>Evaluation!B28</f>
        <v>#N/A</v>
      </c>
      <c r="C22" s="3" t="e">
        <f>Evaluation!C28</f>
        <v>#N/A</v>
      </c>
      <c r="D22" s="3" t="e">
        <f>Evaluation!D28</f>
        <v>#N/A</v>
      </c>
      <c r="E22" s="3" t="e">
        <f>Evaluation!E28</f>
        <v>#N/A</v>
      </c>
      <c r="F22" s="3" t="e">
        <f>Evaluation!F28</f>
        <v>#N/A</v>
      </c>
      <c r="G22" s="3" t="e">
        <f>Evaluation!G28</f>
        <v>#N/A</v>
      </c>
      <c r="H22" s="3" t="e">
        <f>Evaluation!H28</f>
        <v>#N/A</v>
      </c>
      <c r="I22" s="3" t="e">
        <f>Evaluation!I28</f>
        <v>#N/A</v>
      </c>
      <c r="J22" s="3" t="e">
        <f>Evaluation!J28</f>
        <v>#N/A</v>
      </c>
      <c r="K22" s="3" t="e">
        <f>Evaluation!K28</f>
        <v>#N/A</v>
      </c>
      <c r="L22" s="3" t="e">
        <f>Evaluation!L28</f>
        <v>#N/A</v>
      </c>
      <c r="M22" s="3" t="e">
        <f>Evaluation!M28</f>
        <v>#N/A</v>
      </c>
      <c r="N22" s="3" t="e">
        <f>Evaluation!N28</f>
        <v>#N/A</v>
      </c>
      <c r="O22" s="3" t="e">
        <f>Evaluation!O28</f>
        <v>#N/A</v>
      </c>
      <c r="P22" s="3" t="e">
        <f>Evaluation!P28</f>
        <v>#N/A</v>
      </c>
      <c r="Q22" s="3" t="e">
        <f>Evaluation!Q28</f>
        <v>#N/A</v>
      </c>
      <c r="R22" s="3" t="e">
        <f>Evaluation!R28</f>
        <v>#N/A</v>
      </c>
      <c r="S22" s="3" t="e">
        <f>Evaluation!S28</f>
        <v>#N/A</v>
      </c>
      <c r="T22" s="3" t="e">
        <f>Evaluation!T28</f>
        <v>#N/A</v>
      </c>
      <c r="U22" s="3" t="e">
        <f>Evaluation!U28</f>
        <v>#N/A</v>
      </c>
    </row>
    <row r="23" spans="1:21">
      <c r="A23" s="3" t="s">
        <v>14</v>
      </c>
      <c r="B23" s="3">
        <f>Evaluation!B29</f>
        <v>3</v>
      </c>
      <c r="C23" s="3">
        <f>Evaluation!C29</f>
        <v>3</v>
      </c>
      <c r="D23" s="3">
        <f>Evaluation!D29</f>
        <v>2</v>
      </c>
      <c r="E23" s="3">
        <f>Evaluation!E29</f>
        <v>2</v>
      </c>
      <c r="F23" s="3">
        <f>Evaluation!F29</f>
        <v>2</v>
      </c>
      <c r="G23" s="3">
        <f>Evaluation!G29</f>
        <v>2</v>
      </c>
      <c r="H23" s="3">
        <f>Evaluation!H29</f>
        <v>2</v>
      </c>
      <c r="I23" s="3">
        <f>Evaluation!I29</f>
        <v>3</v>
      </c>
      <c r="J23" s="3">
        <f>Evaluation!J29</f>
        <v>2</v>
      </c>
      <c r="K23" s="3">
        <f>Evaluation!K29</f>
        <v>3</v>
      </c>
      <c r="L23" s="3">
        <f>Evaluation!L29</f>
        <v>1</v>
      </c>
      <c r="M23" s="3">
        <f>Evaluation!M29</f>
        <v>2</v>
      </c>
      <c r="N23" s="3">
        <f>Evaluation!N29</f>
        <v>2</v>
      </c>
      <c r="O23" s="3">
        <f>Evaluation!O29</f>
        <v>2</v>
      </c>
      <c r="P23" s="3">
        <f>Evaluation!P29</f>
        <v>3</v>
      </c>
      <c r="Q23" s="3">
        <f>Evaluation!Q29</f>
        <v>1</v>
      </c>
      <c r="R23" s="3">
        <f>Evaluation!R29</f>
        <v>1</v>
      </c>
      <c r="S23" s="3">
        <f>Evaluation!S29</f>
        <v>3</v>
      </c>
      <c r="T23" s="3">
        <f>Evaluation!T29</f>
        <v>2</v>
      </c>
      <c r="U23" s="3">
        <f>Evaluation!U29</f>
        <v>2</v>
      </c>
    </row>
    <row r="24" spans="1:21">
      <c r="A24" s="3" t="s">
        <v>5</v>
      </c>
      <c r="B24" s="3" t="e">
        <f>Evaluation!B30</f>
        <v>#N/A</v>
      </c>
      <c r="C24" s="3" t="e">
        <f>Evaluation!C30</f>
        <v>#N/A</v>
      </c>
      <c r="D24" s="3" t="e">
        <f>Evaluation!D30</f>
        <v>#N/A</v>
      </c>
      <c r="E24" s="3" t="e">
        <f>Evaluation!E30</f>
        <v>#N/A</v>
      </c>
      <c r="F24" s="3" t="e">
        <f>Evaluation!F30</f>
        <v>#N/A</v>
      </c>
      <c r="G24" s="3" t="e">
        <f>Evaluation!G30</f>
        <v>#N/A</v>
      </c>
      <c r="H24" s="3" t="e">
        <f>Evaluation!H30</f>
        <v>#N/A</v>
      </c>
      <c r="I24" s="3" t="e">
        <f>Evaluation!I30</f>
        <v>#N/A</v>
      </c>
      <c r="J24" s="3" t="e">
        <f>Evaluation!J30</f>
        <v>#N/A</v>
      </c>
      <c r="K24" s="3" t="e">
        <f>Evaluation!K30</f>
        <v>#N/A</v>
      </c>
      <c r="L24" s="3" t="e">
        <f>Evaluation!L30</f>
        <v>#N/A</v>
      </c>
      <c r="M24" s="3" t="e">
        <f>Evaluation!M30</f>
        <v>#N/A</v>
      </c>
      <c r="N24" s="3" t="e">
        <f>Evaluation!N30</f>
        <v>#N/A</v>
      </c>
      <c r="O24" s="3" t="e">
        <f>Evaluation!O30</f>
        <v>#N/A</v>
      </c>
      <c r="P24" s="3" t="e">
        <f>Evaluation!P30</f>
        <v>#N/A</v>
      </c>
      <c r="Q24" s="3" t="e">
        <f>Evaluation!Q30</f>
        <v>#N/A</v>
      </c>
      <c r="R24" s="3" t="e">
        <f>Evaluation!R30</f>
        <v>#N/A</v>
      </c>
      <c r="S24" s="3" t="e">
        <f>Evaluation!S30</f>
        <v>#N/A</v>
      </c>
      <c r="T24" s="3" t="e">
        <f>Evaluation!T30</f>
        <v>#N/A</v>
      </c>
      <c r="U24" s="3" t="e">
        <f>Evaluation!U30</f>
        <v>#N/A</v>
      </c>
    </row>
    <row r="25" spans="1:21">
      <c r="A25" s="3" t="s">
        <v>543</v>
      </c>
      <c r="B25" s="3" t="e">
        <f>Evaluation!B31</f>
        <v>#N/A</v>
      </c>
      <c r="C25" s="3" t="e">
        <f>Evaluation!C31</f>
        <v>#N/A</v>
      </c>
      <c r="D25" s="3" t="e">
        <f>Evaluation!D31</f>
        <v>#N/A</v>
      </c>
      <c r="E25" s="3" t="e">
        <f>Evaluation!E31</f>
        <v>#N/A</v>
      </c>
      <c r="F25" s="3" t="e">
        <f>Evaluation!F31</f>
        <v>#N/A</v>
      </c>
      <c r="G25" s="3" t="e">
        <f>Evaluation!G31</f>
        <v>#N/A</v>
      </c>
      <c r="H25" s="3" t="e">
        <f>Evaluation!H31</f>
        <v>#N/A</v>
      </c>
      <c r="I25" s="3" t="e">
        <f>Evaluation!I31</f>
        <v>#N/A</v>
      </c>
      <c r="J25" s="3" t="e">
        <f>Evaluation!J31</f>
        <v>#N/A</v>
      </c>
      <c r="K25" s="3" t="e">
        <f>Evaluation!K31</f>
        <v>#N/A</v>
      </c>
      <c r="L25" s="3" t="e">
        <f>Evaluation!L31</f>
        <v>#N/A</v>
      </c>
      <c r="M25" s="3" t="e">
        <f>Evaluation!M31</f>
        <v>#N/A</v>
      </c>
      <c r="N25" s="3" t="e">
        <f>Evaluation!N31</f>
        <v>#N/A</v>
      </c>
      <c r="O25" s="3" t="e">
        <f>Evaluation!O31</f>
        <v>#N/A</v>
      </c>
      <c r="P25" s="3" t="e">
        <f>Evaluation!P31</f>
        <v>#N/A</v>
      </c>
      <c r="Q25" s="3" t="e">
        <f>Evaluation!Q31</f>
        <v>#N/A</v>
      </c>
      <c r="R25" s="3" t="e">
        <f>Evaluation!R31</f>
        <v>#N/A</v>
      </c>
      <c r="S25" s="3" t="e">
        <f>Evaluation!S31</f>
        <v>#N/A</v>
      </c>
      <c r="T25" s="3" t="e">
        <f>Evaluation!T31</f>
        <v>#N/A</v>
      </c>
      <c r="U25" s="3" t="e">
        <f>Evaluation!U31</f>
        <v>#N/A</v>
      </c>
    </row>
    <row r="26" spans="1:21">
      <c r="A26" s="3" t="s">
        <v>544</v>
      </c>
      <c r="B26" s="3" t="e">
        <f>Evaluation!B32</f>
        <v>#N/A</v>
      </c>
      <c r="C26" s="3" t="e">
        <f>Evaluation!C32</f>
        <v>#N/A</v>
      </c>
      <c r="D26" s="3" t="e">
        <f>Evaluation!D32</f>
        <v>#N/A</v>
      </c>
      <c r="E26" s="3" t="e">
        <f>Evaluation!E32</f>
        <v>#N/A</v>
      </c>
      <c r="F26" s="3" t="e">
        <f>Evaluation!F32</f>
        <v>#N/A</v>
      </c>
      <c r="G26" s="3" t="e">
        <f>Evaluation!G32</f>
        <v>#N/A</v>
      </c>
      <c r="H26" s="3" t="e">
        <f>Evaluation!H32</f>
        <v>#N/A</v>
      </c>
      <c r="I26" s="3" t="e">
        <f>Evaluation!I32</f>
        <v>#N/A</v>
      </c>
      <c r="J26" s="3" t="e">
        <f>Evaluation!J32</f>
        <v>#N/A</v>
      </c>
      <c r="K26" s="3" t="e">
        <f>Evaluation!K32</f>
        <v>#N/A</v>
      </c>
      <c r="L26" s="3" t="e">
        <f>Evaluation!L32</f>
        <v>#N/A</v>
      </c>
      <c r="M26" s="3" t="e">
        <f>Evaluation!M32</f>
        <v>#N/A</v>
      </c>
      <c r="N26" s="3" t="e">
        <f>Evaluation!N32</f>
        <v>#N/A</v>
      </c>
      <c r="O26" s="3" t="e">
        <f>Evaluation!O32</f>
        <v>#N/A</v>
      </c>
      <c r="P26" s="3" t="e">
        <f>Evaluation!P32</f>
        <v>#N/A</v>
      </c>
      <c r="Q26" s="3" t="e">
        <f>Evaluation!Q32</f>
        <v>#N/A</v>
      </c>
      <c r="R26" s="3" t="e">
        <f>Evaluation!R32</f>
        <v>#N/A</v>
      </c>
      <c r="S26" s="3" t="e">
        <f>Evaluation!S32</f>
        <v>#N/A</v>
      </c>
      <c r="T26" s="3" t="e">
        <f>Evaluation!T32</f>
        <v>#N/A</v>
      </c>
      <c r="U26" s="3" t="e">
        <f>Evaluation!U32</f>
        <v>#N/A</v>
      </c>
    </row>
    <row r="27" spans="1:21">
      <c r="A27" s="3" t="s">
        <v>545</v>
      </c>
      <c r="B27" s="3">
        <f>Evaluation!B33</f>
        <v>2</v>
      </c>
      <c r="C27" s="3">
        <f>Evaluation!C33</f>
        <v>2</v>
      </c>
      <c r="D27" s="3">
        <f>Evaluation!D33</f>
        <v>2</v>
      </c>
      <c r="E27" s="3">
        <f>Evaluation!E33</f>
        <v>2</v>
      </c>
      <c r="F27" s="3">
        <f>Evaluation!F33</f>
        <v>2</v>
      </c>
      <c r="G27" s="3">
        <f>Evaluation!G33</f>
        <v>2</v>
      </c>
      <c r="H27" s="3">
        <f>Evaluation!H33</f>
        <v>3</v>
      </c>
      <c r="I27" s="3">
        <f>Evaluation!I33</f>
        <v>2</v>
      </c>
      <c r="J27" s="3">
        <f>Evaluation!J33</f>
        <v>2</v>
      </c>
      <c r="K27" s="3">
        <f>Evaluation!K33</f>
        <v>2</v>
      </c>
      <c r="L27" s="3">
        <f>Evaluation!L33</f>
        <v>2</v>
      </c>
      <c r="M27" s="3">
        <f>Evaluation!M33</f>
        <v>2</v>
      </c>
      <c r="N27" s="3">
        <f>Evaluation!N33</f>
        <v>2</v>
      </c>
      <c r="O27" s="3">
        <f>Evaluation!O33</f>
        <v>2</v>
      </c>
      <c r="P27" s="3">
        <f>Evaluation!P33</f>
        <v>2</v>
      </c>
      <c r="Q27" s="3">
        <f>Evaluation!Q33</f>
        <v>2</v>
      </c>
      <c r="R27" s="3">
        <f>Evaluation!R33</f>
        <v>2</v>
      </c>
      <c r="S27" s="3">
        <f>Evaluation!S33</f>
        <v>2</v>
      </c>
      <c r="T27" s="3">
        <f>Evaluation!T33</f>
        <v>2</v>
      </c>
      <c r="U27" s="3">
        <f>Evaluation!U33</f>
        <v>2</v>
      </c>
    </row>
    <row r="28" spans="1:21">
      <c r="A28" s="3" t="s">
        <v>546</v>
      </c>
      <c r="B28" s="3" t="e">
        <f>Evaluation!B34</f>
        <v>#N/A</v>
      </c>
      <c r="C28" s="3" t="e">
        <f>Evaluation!C34</f>
        <v>#N/A</v>
      </c>
      <c r="D28" s="3" t="e">
        <f>Evaluation!D34</f>
        <v>#N/A</v>
      </c>
      <c r="E28" s="3" t="e">
        <f>Evaluation!E34</f>
        <v>#N/A</v>
      </c>
      <c r="F28" s="3" t="e">
        <f>Evaluation!F34</f>
        <v>#N/A</v>
      </c>
      <c r="G28" s="3" t="e">
        <f>Evaluation!G34</f>
        <v>#N/A</v>
      </c>
      <c r="H28" s="3" t="e">
        <f>Evaluation!H34</f>
        <v>#N/A</v>
      </c>
      <c r="I28" s="3" t="e">
        <f>Evaluation!I34</f>
        <v>#N/A</v>
      </c>
      <c r="J28" s="3" t="e">
        <f>Evaluation!J34</f>
        <v>#N/A</v>
      </c>
      <c r="K28" s="3" t="e">
        <f>Evaluation!K34</f>
        <v>#N/A</v>
      </c>
      <c r="L28" s="3" t="e">
        <f>Evaluation!L34</f>
        <v>#N/A</v>
      </c>
      <c r="M28" s="3" t="e">
        <f>Evaluation!M34</f>
        <v>#N/A</v>
      </c>
      <c r="N28" s="3" t="e">
        <f>Evaluation!N34</f>
        <v>#N/A</v>
      </c>
      <c r="O28" s="3" t="e">
        <f>Evaluation!O34</f>
        <v>#N/A</v>
      </c>
      <c r="P28" s="3" t="e">
        <f>Evaluation!P34</f>
        <v>#N/A</v>
      </c>
      <c r="Q28" s="3" t="e">
        <f>Evaluation!Q34</f>
        <v>#N/A</v>
      </c>
      <c r="R28" s="3" t="e">
        <f>Evaluation!R34</f>
        <v>#N/A</v>
      </c>
      <c r="S28" s="3" t="e">
        <f>Evaluation!S34</f>
        <v>#N/A</v>
      </c>
      <c r="T28" s="3" t="e">
        <f>Evaluation!T34</f>
        <v>#N/A</v>
      </c>
      <c r="U28" s="3" t="e">
        <f>Evaluation!U34</f>
        <v>#N/A</v>
      </c>
    </row>
    <row r="29" spans="1:21">
      <c r="A29" s="3" t="s">
        <v>547</v>
      </c>
      <c r="B29" s="3" t="e">
        <f>Evaluation!B35</f>
        <v>#N/A</v>
      </c>
      <c r="C29" s="3" t="e">
        <f>Evaluation!C35</f>
        <v>#N/A</v>
      </c>
      <c r="D29" s="3" t="e">
        <f>Evaluation!D35</f>
        <v>#N/A</v>
      </c>
      <c r="E29" s="3" t="e">
        <f>Evaluation!E35</f>
        <v>#N/A</v>
      </c>
      <c r="F29" s="3" t="e">
        <f>Evaluation!F35</f>
        <v>#N/A</v>
      </c>
      <c r="G29" s="3" t="e">
        <f>Evaluation!G35</f>
        <v>#N/A</v>
      </c>
      <c r="H29" s="3" t="e">
        <f>Evaluation!H35</f>
        <v>#N/A</v>
      </c>
      <c r="I29" s="3" t="e">
        <f>Evaluation!I35</f>
        <v>#N/A</v>
      </c>
      <c r="J29" s="3" t="e">
        <f>Evaluation!J35</f>
        <v>#N/A</v>
      </c>
      <c r="K29" s="3" t="e">
        <f>Evaluation!K35</f>
        <v>#N/A</v>
      </c>
      <c r="L29" s="3" t="e">
        <f>Evaluation!L35</f>
        <v>#N/A</v>
      </c>
      <c r="M29" s="3" t="e">
        <f>Evaluation!M35</f>
        <v>#N/A</v>
      </c>
      <c r="N29" s="3" t="e">
        <f>Evaluation!N35</f>
        <v>#N/A</v>
      </c>
      <c r="O29" s="3" t="e">
        <f>Evaluation!O35</f>
        <v>#N/A</v>
      </c>
      <c r="P29" s="3" t="e">
        <f>Evaluation!P35</f>
        <v>#N/A</v>
      </c>
      <c r="Q29" s="3" t="e">
        <f>Evaluation!Q35</f>
        <v>#N/A</v>
      </c>
      <c r="R29" s="3" t="e">
        <f>Evaluation!R35</f>
        <v>#N/A</v>
      </c>
      <c r="S29" s="3" t="e">
        <f>Evaluation!S35</f>
        <v>#N/A</v>
      </c>
      <c r="T29" s="3" t="e">
        <f>Evaluation!T35</f>
        <v>#N/A</v>
      </c>
      <c r="U29" s="3" t="e">
        <f>Evaluation!U35</f>
        <v>#N/A</v>
      </c>
    </row>
    <row r="30" spans="1:21">
      <c r="A30" s="3" t="s">
        <v>529</v>
      </c>
      <c r="B30" s="3" t="e">
        <f>Evaluation!B36</f>
        <v>#N/A</v>
      </c>
      <c r="C30" s="3" t="e">
        <f>Evaluation!C36</f>
        <v>#N/A</v>
      </c>
      <c r="D30" s="3" t="e">
        <f>Evaluation!D36</f>
        <v>#N/A</v>
      </c>
      <c r="E30" s="3" t="e">
        <f>Evaluation!E36</f>
        <v>#N/A</v>
      </c>
      <c r="F30" s="3" t="e">
        <f>Evaluation!F36</f>
        <v>#N/A</v>
      </c>
      <c r="G30" s="3" t="e">
        <f>Evaluation!G36</f>
        <v>#N/A</v>
      </c>
      <c r="H30" s="3" t="e">
        <f>Evaluation!H36</f>
        <v>#N/A</v>
      </c>
      <c r="I30" s="3" t="e">
        <f>Evaluation!I36</f>
        <v>#N/A</v>
      </c>
      <c r="J30" s="3" t="e">
        <f>Evaluation!J36</f>
        <v>#N/A</v>
      </c>
      <c r="K30" s="3" t="e">
        <f>Evaluation!K36</f>
        <v>#N/A</v>
      </c>
      <c r="L30" s="3" t="e">
        <f>Evaluation!L36</f>
        <v>#N/A</v>
      </c>
      <c r="M30" s="3" t="e">
        <f>Evaluation!M36</f>
        <v>#N/A</v>
      </c>
      <c r="N30" s="3" t="e">
        <f>Evaluation!N36</f>
        <v>#N/A</v>
      </c>
      <c r="O30" s="3" t="e">
        <f>Evaluation!O36</f>
        <v>#N/A</v>
      </c>
      <c r="P30" s="3" t="e">
        <f>Evaluation!P36</f>
        <v>#N/A</v>
      </c>
      <c r="Q30" s="3" t="e">
        <f>Evaluation!Q36</f>
        <v>#N/A</v>
      </c>
      <c r="R30" s="3" t="e">
        <f>Evaluation!R36</f>
        <v>#N/A</v>
      </c>
      <c r="S30" s="3" t="e">
        <f>Evaluation!S36</f>
        <v>#N/A</v>
      </c>
      <c r="T30" s="3" t="e">
        <f>Evaluation!T36</f>
        <v>#N/A</v>
      </c>
      <c r="U30" s="3" t="e">
        <f>Evaluation!U36</f>
        <v>#N/A</v>
      </c>
    </row>
    <row r="31" spans="1:21">
      <c r="A31" s="3" t="s">
        <v>548</v>
      </c>
      <c r="B31" s="3">
        <f>Evaluation!B37</f>
        <v>2</v>
      </c>
      <c r="C31" s="3">
        <f>Evaluation!C37</f>
        <v>2</v>
      </c>
      <c r="D31" s="3">
        <f>Evaluation!D37</f>
        <v>2</v>
      </c>
      <c r="E31" s="3">
        <f>Evaluation!E37</f>
        <v>1</v>
      </c>
      <c r="F31" s="3">
        <f>Evaluation!F37</f>
        <v>1</v>
      </c>
      <c r="G31" s="3">
        <f>Evaluation!G37</f>
        <v>1</v>
      </c>
      <c r="H31" s="3">
        <f>Evaluation!H37</f>
        <v>1</v>
      </c>
      <c r="I31" s="3">
        <f>Evaluation!I37</f>
        <v>2</v>
      </c>
      <c r="J31" s="3">
        <f>Evaluation!J37</f>
        <v>1</v>
      </c>
      <c r="K31" s="3">
        <f>Evaluation!K37</f>
        <v>2</v>
      </c>
      <c r="L31" s="3">
        <f>Evaluation!L37</f>
        <v>2</v>
      </c>
      <c r="M31" s="3">
        <f>Evaluation!M37</f>
        <v>2</v>
      </c>
      <c r="N31" s="3">
        <f>Evaluation!N37</f>
        <v>1</v>
      </c>
      <c r="O31" s="3">
        <f>Evaluation!O37</f>
        <v>1</v>
      </c>
      <c r="P31" s="3">
        <f>Evaluation!P37</f>
        <v>2</v>
      </c>
      <c r="Q31" s="3">
        <f>Evaluation!Q37</f>
        <v>2</v>
      </c>
      <c r="R31" s="3">
        <f>Evaluation!R37</f>
        <v>1</v>
      </c>
      <c r="S31" s="3">
        <f>Evaluation!S37</f>
        <v>1</v>
      </c>
      <c r="T31" s="3">
        <f>Evaluation!T37</f>
        <v>1</v>
      </c>
      <c r="U31" s="3">
        <f>Evaluation!U37</f>
        <v>1</v>
      </c>
    </row>
    <row r="32" spans="1:21">
      <c r="A32" s="3" t="s">
        <v>549</v>
      </c>
      <c r="B32" s="3" t="e">
        <f>Evaluation!B38</f>
        <v>#N/A</v>
      </c>
      <c r="C32" s="3" t="e">
        <f>Evaluation!C38</f>
        <v>#N/A</v>
      </c>
      <c r="D32" s="3" t="e">
        <f>Evaluation!D38</f>
        <v>#N/A</v>
      </c>
      <c r="E32" s="3" t="e">
        <f>Evaluation!E38</f>
        <v>#N/A</v>
      </c>
      <c r="F32" s="3" t="e">
        <f>Evaluation!F38</f>
        <v>#N/A</v>
      </c>
      <c r="G32" s="3" t="e">
        <f>Evaluation!G38</f>
        <v>#N/A</v>
      </c>
      <c r="H32" s="3" t="e">
        <f>Evaluation!H38</f>
        <v>#N/A</v>
      </c>
      <c r="I32" s="3" t="e">
        <f>Evaluation!I38</f>
        <v>#N/A</v>
      </c>
      <c r="J32" s="3" t="e">
        <f>Evaluation!J38</f>
        <v>#N/A</v>
      </c>
      <c r="K32" s="3" t="e">
        <f>Evaluation!K38</f>
        <v>#N/A</v>
      </c>
      <c r="L32" s="3" t="e">
        <f>Evaluation!L38</f>
        <v>#N/A</v>
      </c>
      <c r="M32" s="3" t="e">
        <f>Evaluation!M38</f>
        <v>#N/A</v>
      </c>
      <c r="N32" s="3" t="e">
        <f>Evaluation!N38</f>
        <v>#N/A</v>
      </c>
      <c r="O32" s="3" t="e">
        <f>Evaluation!O38</f>
        <v>#N/A</v>
      </c>
      <c r="P32" s="3" t="e">
        <f>Evaluation!P38</f>
        <v>#N/A</v>
      </c>
      <c r="Q32" s="3" t="e">
        <f>Evaluation!Q38</f>
        <v>#N/A</v>
      </c>
      <c r="R32" s="3" t="e">
        <f>Evaluation!R38</f>
        <v>#N/A</v>
      </c>
      <c r="S32" s="3" t="e">
        <f>Evaluation!S38</f>
        <v>#N/A</v>
      </c>
      <c r="T32" s="3" t="e">
        <f>Evaluation!T38</f>
        <v>#N/A</v>
      </c>
      <c r="U32" s="3" t="e">
        <f>Evaluation!U38</f>
        <v>#N/A</v>
      </c>
    </row>
    <row r="33" spans="1:21">
      <c r="A33" s="3" t="s">
        <v>67</v>
      </c>
      <c r="B33" s="3" t="e">
        <f>Evaluation!B39</f>
        <v>#N/A</v>
      </c>
      <c r="C33" s="3" t="e">
        <f>Evaluation!C39</f>
        <v>#N/A</v>
      </c>
      <c r="D33" s="3" t="e">
        <f>Evaluation!D39</f>
        <v>#N/A</v>
      </c>
      <c r="E33" s="3" t="e">
        <f>Evaluation!E39</f>
        <v>#N/A</v>
      </c>
      <c r="F33" s="3" t="e">
        <f>Evaluation!F39</f>
        <v>#N/A</v>
      </c>
      <c r="G33" s="3" t="e">
        <f>Evaluation!G39</f>
        <v>#N/A</v>
      </c>
      <c r="H33" s="3" t="e">
        <f>Evaluation!H39</f>
        <v>#N/A</v>
      </c>
      <c r="I33" s="3" t="e">
        <f>Evaluation!I39</f>
        <v>#N/A</v>
      </c>
      <c r="J33" s="3" t="e">
        <f>Evaluation!J39</f>
        <v>#N/A</v>
      </c>
      <c r="K33" s="3" t="e">
        <f>Evaluation!K39</f>
        <v>#N/A</v>
      </c>
      <c r="L33" s="3" t="e">
        <f>Evaluation!L39</f>
        <v>#N/A</v>
      </c>
      <c r="M33" s="3" t="e">
        <f>Evaluation!M39</f>
        <v>#N/A</v>
      </c>
      <c r="N33" s="3" t="e">
        <f>Evaluation!N39</f>
        <v>#N/A</v>
      </c>
      <c r="O33" s="3" t="e">
        <f>Evaluation!O39</f>
        <v>#N/A</v>
      </c>
      <c r="P33" s="3" t="e">
        <f>Evaluation!P39</f>
        <v>#N/A</v>
      </c>
      <c r="Q33" s="3" t="e">
        <f>Evaluation!Q39</f>
        <v>#N/A</v>
      </c>
      <c r="R33" s="3" t="e">
        <f>Evaluation!R39</f>
        <v>#N/A</v>
      </c>
      <c r="S33" s="3" t="e">
        <f>Evaluation!S39</f>
        <v>#N/A</v>
      </c>
      <c r="T33" s="3" t="e">
        <f>Evaluation!T39</f>
        <v>#N/A</v>
      </c>
      <c r="U33" s="3" t="e">
        <f>Evaluation!U39</f>
        <v>#N/A</v>
      </c>
    </row>
    <row r="34" spans="1:21">
      <c r="A34" s="3" t="s">
        <v>550</v>
      </c>
      <c r="B34" s="3">
        <f>Evaluation!B40</f>
        <v>2</v>
      </c>
      <c r="C34" s="3">
        <f>Evaluation!C40</f>
        <v>3</v>
      </c>
      <c r="D34" s="3">
        <f>Evaluation!D40</f>
        <v>2</v>
      </c>
      <c r="E34" s="3">
        <f>Evaluation!E40</f>
        <v>3</v>
      </c>
      <c r="F34" s="3">
        <f>Evaluation!F40</f>
        <v>2</v>
      </c>
      <c r="G34" s="3">
        <f>Evaluation!G40</f>
        <v>3</v>
      </c>
      <c r="H34" s="3">
        <f>Evaluation!H40</f>
        <v>3</v>
      </c>
      <c r="I34" s="3">
        <f>Evaluation!I40</f>
        <v>4</v>
      </c>
      <c r="J34" s="3">
        <f>Evaluation!J40</f>
        <v>1</v>
      </c>
      <c r="K34" s="3">
        <f>Evaluation!K40</f>
        <v>2</v>
      </c>
      <c r="L34" s="3">
        <f>Evaluation!L40</f>
        <v>4</v>
      </c>
      <c r="M34" s="3">
        <f>Evaluation!M40</f>
        <v>3</v>
      </c>
      <c r="N34" s="3">
        <f>Evaluation!N40</f>
        <v>3</v>
      </c>
      <c r="O34" s="3">
        <f>Evaluation!O40</f>
        <v>4</v>
      </c>
      <c r="P34" s="3">
        <f>Evaluation!P40</f>
        <v>4</v>
      </c>
      <c r="Q34" s="3">
        <f>Evaluation!Q40</f>
        <v>4</v>
      </c>
      <c r="R34" s="3">
        <f>Evaluation!R40</f>
        <v>3</v>
      </c>
      <c r="S34" s="3">
        <f>Evaluation!S40</f>
        <v>1</v>
      </c>
      <c r="T34" s="3">
        <f>Evaluation!T40</f>
        <v>2</v>
      </c>
      <c r="U34" s="3">
        <f>Evaluation!U40</f>
        <v>3</v>
      </c>
    </row>
    <row r="35" spans="1:21">
      <c r="A35" s="3" t="s">
        <v>69</v>
      </c>
      <c r="B35" s="3" t="e">
        <f>Evaluation!B41</f>
        <v>#N/A</v>
      </c>
      <c r="C35" s="3" t="e">
        <f>Evaluation!C41</f>
        <v>#N/A</v>
      </c>
      <c r="D35" s="3" t="e">
        <f>Evaluation!D41</f>
        <v>#N/A</v>
      </c>
      <c r="E35" s="3" t="e">
        <f>Evaluation!E41</f>
        <v>#N/A</v>
      </c>
      <c r="F35" s="3" t="e">
        <f>Evaluation!F41</f>
        <v>#N/A</v>
      </c>
      <c r="G35" s="3" t="e">
        <f>Evaluation!G41</f>
        <v>#N/A</v>
      </c>
      <c r="H35" s="3" t="e">
        <f>Evaluation!H41</f>
        <v>#N/A</v>
      </c>
      <c r="I35" s="3" t="e">
        <f>Evaluation!I41</f>
        <v>#N/A</v>
      </c>
      <c r="J35" s="3" t="e">
        <f>Evaluation!J41</f>
        <v>#N/A</v>
      </c>
      <c r="K35" s="3" t="e">
        <f>Evaluation!K41</f>
        <v>#N/A</v>
      </c>
      <c r="L35" s="3" t="e">
        <f>Evaluation!L41</f>
        <v>#N/A</v>
      </c>
      <c r="M35" s="3" t="e">
        <f>Evaluation!M41</f>
        <v>#N/A</v>
      </c>
      <c r="N35" s="3" t="e">
        <f>Evaluation!N41</f>
        <v>#N/A</v>
      </c>
      <c r="O35" s="3" t="e">
        <f>Evaluation!O41</f>
        <v>#N/A</v>
      </c>
      <c r="P35" s="3" t="e">
        <f>Evaluation!P41</f>
        <v>#N/A</v>
      </c>
      <c r="Q35" s="3" t="e">
        <f>Evaluation!Q41</f>
        <v>#N/A</v>
      </c>
      <c r="R35" s="3" t="e">
        <f>Evaluation!R41</f>
        <v>#N/A</v>
      </c>
      <c r="S35" s="3" t="e">
        <f>Evaluation!S41</f>
        <v>#N/A</v>
      </c>
      <c r="T35" s="3" t="e">
        <f>Evaluation!T41</f>
        <v>#N/A</v>
      </c>
      <c r="U35" s="3" t="e">
        <f>Evaluation!U41</f>
        <v>#N/A</v>
      </c>
    </row>
    <row r="36" spans="1:21">
      <c r="A36" s="3" t="s">
        <v>551</v>
      </c>
      <c r="B36" s="3" t="e">
        <f>Evaluation!B42</f>
        <v>#N/A</v>
      </c>
      <c r="C36" s="3" t="e">
        <f>Evaluation!C42</f>
        <v>#N/A</v>
      </c>
      <c r="D36" s="3" t="e">
        <f>Evaluation!D42</f>
        <v>#N/A</v>
      </c>
      <c r="E36" s="3" t="e">
        <f>Evaluation!E42</f>
        <v>#N/A</v>
      </c>
      <c r="F36" s="3" t="e">
        <f>Evaluation!F42</f>
        <v>#N/A</v>
      </c>
      <c r="G36" s="3" t="e">
        <f>Evaluation!G42</f>
        <v>#N/A</v>
      </c>
      <c r="H36" s="3" t="e">
        <f>Evaluation!H42</f>
        <v>#N/A</v>
      </c>
      <c r="I36" s="3" t="e">
        <f>Evaluation!I42</f>
        <v>#N/A</v>
      </c>
      <c r="J36" s="3" t="e">
        <f>Evaluation!J42</f>
        <v>#N/A</v>
      </c>
      <c r="K36" s="3" t="e">
        <f>Evaluation!K42</f>
        <v>#N/A</v>
      </c>
      <c r="L36" s="3" t="e">
        <f>Evaluation!L42</f>
        <v>#N/A</v>
      </c>
      <c r="M36" s="3" t="e">
        <f>Evaluation!M42</f>
        <v>#N/A</v>
      </c>
      <c r="N36" s="3" t="e">
        <f>Evaluation!N42</f>
        <v>#N/A</v>
      </c>
      <c r="O36" s="3" t="e">
        <f>Evaluation!O42</f>
        <v>#N/A</v>
      </c>
      <c r="P36" s="3" t="e">
        <f>Evaluation!P42</f>
        <v>#N/A</v>
      </c>
      <c r="Q36" s="3" t="e">
        <f>Evaluation!Q42</f>
        <v>#N/A</v>
      </c>
      <c r="R36" s="3" t="e">
        <f>Evaluation!R42</f>
        <v>#N/A</v>
      </c>
      <c r="S36" s="3" t="e">
        <f>Evaluation!S42</f>
        <v>#N/A</v>
      </c>
      <c r="T36" s="3" t="e">
        <f>Evaluation!T42</f>
        <v>#N/A</v>
      </c>
      <c r="U36" s="3" t="e">
        <f>Evaluation!U42</f>
        <v>#N/A</v>
      </c>
    </row>
    <row r="37" spans="1:21">
      <c r="A37" s="3" t="s">
        <v>552</v>
      </c>
      <c r="B37" s="3" t="e">
        <f>Evaluation!B43</f>
        <v>#N/A</v>
      </c>
      <c r="C37" s="3" t="e">
        <f>Evaluation!C43</f>
        <v>#N/A</v>
      </c>
      <c r="D37" s="3" t="e">
        <f>Evaluation!D43</f>
        <v>#N/A</v>
      </c>
      <c r="E37" s="3" t="e">
        <f>Evaluation!E43</f>
        <v>#N/A</v>
      </c>
      <c r="F37" s="3" t="e">
        <f>Evaluation!F43</f>
        <v>#N/A</v>
      </c>
      <c r="G37" s="3" t="e">
        <f>Evaluation!G43</f>
        <v>#N/A</v>
      </c>
      <c r="H37" s="3" t="e">
        <f>Evaluation!H43</f>
        <v>#N/A</v>
      </c>
      <c r="I37" s="3" t="e">
        <f>Evaluation!I43</f>
        <v>#N/A</v>
      </c>
      <c r="J37" s="3" t="e">
        <f>Evaluation!J43</f>
        <v>#N/A</v>
      </c>
      <c r="K37" s="3" t="e">
        <f>Evaluation!K43</f>
        <v>#N/A</v>
      </c>
      <c r="L37" s="3" t="e">
        <f>Evaluation!L43</f>
        <v>#N/A</v>
      </c>
      <c r="M37" s="3" t="e">
        <f>Evaluation!M43</f>
        <v>#N/A</v>
      </c>
      <c r="N37" s="3" t="e">
        <f>Evaluation!N43</f>
        <v>#N/A</v>
      </c>
      <c r="O37" s="3" t="e">
        <f>Evaluation!O43</f>
        <v>#N/A</v>
      </c>
      <c r="P37" s="3" t="e">
        <f>Evaluation!P43</f>
        <v>#N/A</v>
      </c>
      <c r="Q37" s="3" t="e">
        <f>Evaluation!Q43</f>
        <v>#N/A</v>
      </c>
      <c r="R37" s="3" t="e">
        <f>Evaluation!R43</f>
        <v>#N/A</v>
      </c>
      <c r="S37" s="3" t="e">
        <f>Evaluation!S43</f>
        <v>#N/A</v>
      </c>
      <c r="T37" s="3" t="e">
        <f>Evaluation!T43</f>
        <v>#N/A</v>
      </c>
      <c r="U37" s="3" t="e">
        <f>Evaluation!U43</f>
        <v>#N/A</v>
      </c>
    </row>
    <row r="38" spans="1:21">
      <c r="A38" s="3" t="s">
        <v>66</v>
      </c>
      <c r="B38" s="3" t="e">
        <f>Evaluation!B44</f>
        <v>#N/A</v>
      </c>
      <c r="C38" s="3" t="e">
        <f>Evaluation!C44</f>
        <v>#N/A</v>
      </c>
      <c r="D38" s="3" t="e">
        <f>Evaluation!D44</f>
        <v>#N/A</v>
      </c>
      <c r="E38" s="3" t="e">
        <f>Evaluation!E44</f>
        <v>#N/A</v>
      </c>
      <c r="F38" s="3" t="e">
        <f>Evaluation!F44</f>
        <v>#N/A</v>
      </c>
      <c r="G38" s="3" t="e">
        <f>Evaluation!G44</f>
        <v>#N/A</v>
      </c>
      <c r="H38" s="3" t="e">
        <f>Evaluation!H44</f>
        <v>#N/A</v>
      </c>
      <c r="I38" s="3" t="e">
        <f>Evaluation!I44</f>
        <v>#N/A</v>
      </c>
      <c r="J38" s="3" t="e">
        <f>Evaluation!J44</f>
        <v>#N/A</v>
      </c>
      <c r="K38" s="3" t="e">
        <f>Evaluation!K44</f>
        <v>#N/A</v>
      </c>
      <c r="L38" s="3" t="e">
        <f>Evaluation!L44</f>
        <v>#N/A</v>
      </c>
      <c r="M38" s="3" t="e">
        <f>Evaluation!M44</f>
        <v>#N/A</v>
      </c>
      <c r="N38" s="3" t="e">
        <f>Evaluation!N44</f>
        <v>#N/A</v>
      </c>
      <c r="O38" s="3" t="e">
        <f>Evaluation!O44</f>
        <v>#N/A</v>
      </c>
      <c r="P38" s="3" t="e">
        <f>Evaluation!P44</f>
        <v>#N/A</v>
      </c>
      <c r="Q38" s="3" t="e">
        <f>Evaluation!Q44</f>
        <v>#N/A</v>
      </c>
      <c r="R38" s="3" t="e">
        <f>Evaluation!R44</f>
        <v>#N/A</v>
      </c>
      <c r="S38" s="3" t="e">
        <f>Evaluation!S44</f>
        <v>#N/A</v>
      </c>
      <c r="T38" s="3" t="e">
        <f>Evaluation!T44</f>
        <v>#N/A</v>
      </c>
      <c r="U38" s="3" t="e">
        <f>Evaluation!U44</f>
        <v>#N/A</v>
      </c>
    </row>
    <row r="39" spans="1:21">
      <c r="A39" s="3" t="s">
        <v>553</v>
      </c>
      <c r="B39" s="3">
        <f>Evaluation!B45</f>
        <v>1</v>
      </c>
      <c r="C39" s="3">
        <f>Evaluation!C45</f>
        <v>1</v>
      </c>
      <c r="D39" s="3">
        <f>Evaluation!D45</f>
        <v>1</v>
      </c>
      <c r="E39" s="3">
        <f>Evaluation!E45</f>
        <v>2</v>
      </c>
      <c r="F39" s="3">
        <f>Evaluation!F45</f>
        <v>3</v>
      </c>
      <c r="G39" s="3">
        <f>Evaluation!G45</f>
        <v>3</v>
      </c>
      <c r="H39" s="3">
        <f>Evaluation!H45</f>
        <v>2</v>
      </c>
      <c r="I39" s="3">
        <f>Evaluation!I45</f>
        <v>1</v>
      </c>
      <c r="J39" s="3">
        <f>Evaluation!J45</f>
        <v>1</v>
      </c>
      <c r="K39" s="3">
        <f>Evaluation!K45</f>
        <v>1</v>
      </c>
      <c r="L39" s="3">
        <f>Evaluation!L45</f>
        <v>1</v>
      </c>
      <c r="M39" s="3">
        <f>Evaluation!M45</f>
        <v>1</v>
      </c>
      <c r="N39" s="3">
        <f>Evaluation!N45</f>
        <v>3</v>
      </c>
      <c r="O39" s="3">
        <f>Evaluation!O45</f>
        <v>2</v>
      </c>
      <c r="P39" s="3">
        <f>Evaluation!P45</f>
        <v>1</v>
      </c>
      <c r="Q39" s="3">
        <f>Evaluation!Q45</f>
        <v>1</v>
      </c>
      <c r="R39" s="3">
        <f>Evaluation!R45</f>
        <v>2</v>
      </c>
      <c r="S39" s="3">
        <f>Evaluation!S45</f>
        <v>2</v>
      </c>
      <c r="T39" s="3">
        <f>Evaluation!T45</f>
        <v>2</v>
      </c>
      <c r="U39" s="3">
        <f>Evaluation!U45</f>
        <v>2</v>
      </c>
    </row>
    <row r="40" spans="1:21">
      <c r="A40" s="3" t="s">
        <v>554</v>
      </c>
      <c r="B40" s="3" t="e">
        <f>Evaluation!B46</f>
        <v>#N/A</v>
      </c>
      <c r="C40" s="3" t="e">
        <f>Evaluation!C46</f>
        <v>#N/A</v>
      </c>
      <c r="D40" s="3" t="e">
        <f>Evaluation!D46</f>
        <v>#N/A</v>
      </c>
      <c r="E40" s="3" t="e">
        <f>Evaluation!E46</f>
        <v>#N/A</v>
      </c>
      <c r="F40" s="3" t="e">
        <f>Evaluation!F46</f>
        <v>#N/A</v>
      </c>
      <c r="G40" s="3" t="e">
        <f>Evaluation!G46</f>
        <v>#N/A</v>
      </c>
      <c r="H40" s="3" t="e">
        <f>Evaluation!H46</f>
        <v>#N/A</v>
      </c>
      <c r="I40" s="3" t="e">
        <f>Evaluation!I46</f>
        <v>#N/A</v>
      </c>
      <c r="J40" s="3" t="e">
        <f>Evaluation!J46</f>
        <v>#N/A</v>
      </c>
      <c r="K40" s="3" t="e">
        <f>Evaluation!K46</f>
        <v>#N/A</v>
      </c>
      <c r="L40" s="3" t="e">
        <f>Evaluation!L46</f>
        <v>#N/A</v>
      </c>
      <c r="M40" s="3" t="e">
        <f>Evaluation!M46</f>
        <v>#N/A</v>
      </c>
      <c r="N40" s="3" t="e">
        <f>Evaluation!N46</f>
        <v>#N/A</v>
      </c>
      <c r="O40" s="3" t="e">
        <f>Evaluation!O46</f>
        <v>#N/A</v>
      </c>
      <c r="P40" s="3" t="e">
        <f>Evaluation!P46</f>
        <v>#N/A</v>
      </c>
      <c r="Q40" s="3" t="e">
        <f>Evaluation!Q46</f>
        <v>#N/A</v>
      </c>
      <c r="R40" s="3" t="e">
        <f>Evaluation!R46</f>
        <v>#N/A</v>
      </c>
      <c r="S40" s="3" t="e">
        <f>Evaluation!S46</f>
        <v>#N/A</v>
      </c>
      <c r="T40" s="3" t="e">
        <f>Evaluation!T46</f>
        <v>#N/A</v>
      </c>
      <c r="U40" s="3" t="e">
        <f>Evaluation!U46</f>
        <v>#N/A</v>
      </c>
    </row>
    <row r="41" spans="1:21">
      <c r="A41" s="3" t="s">
        <v>231</v>
      </c>
      <c r="B41" s="3" t="e">
        <f>Evaluation!B47</f>
        <v>#N/A</v>
      </c>
      <c r="C41" s="3" t="e">
        <f>Evaluation!C47</f>
        <v>#N/A</v>
      </c>
      <c r="D41" s="3" t="e">
        <f>Evaluation!D47</f>
        <v>#N/A</v>
      </c>
      <c r="E41" s="3" t="e">
        <f>Evaluation!E47</f>
        <v>#N/A</v>
      </c>
      <c r="F41" s="3" t="e">
        <f>Evaluation!F47</f>
        <v>#N/A</v>
      </c>
      <c r="G41" s="3" t="e">
        <f>Evaluation!G47</f>
        <v>#N/A</v>
      </c>
      <c r="H41" s="3" t="e">
        <f>Evaluation!H47</f>
        <v>#N/A</v>
      </c>
      <c r="I41" s="3" t="e">
        <f>Evaluation!I47</f>
        <v>#N/A</v>
      </c>
      <c r="J41" s="3" t="e">
        <f>Evaluation!J47</f>
        <v>#N/A</v>
      </c>
      <c r="K41" s="3" t="e">
        <f>Evaluation!K47</f>
        <v>#N/A</v>
      </c>
      <c r="L41" s="3" t="e">
        <f>Evaluation!L47</f>
        <v>#N/A</v>
      </c>
      <c r="M41" s="3" t="e">
        <f>Evaluation!M47</f>
        <v>#N/A</v>
      </c>
      <c r="N41" s="3" t="e">
        <f>Evaluation!N47</f>
        <v>#N/A</v>
      </c>
      <c r="O41" s="3" t="e">
        <f>Evaluation!O47</f>
        <v>#N/A</v>
      </c>
      <c r="P41" s="3" t="e">
        <f>Evaluation!P47</f>
        <v>#N/A</v>
      </c>
      <c r="Q41" s="3" t="e">
        <f>Evaluation!Q47</f>
        <v>#N/A</v>
      </c>
      <c r="R41" s="3" t="e">
        <f>Evaluation!R47</f>
        <v>#N/A</v>
      </c>
      <c r="S41" s="3" t="e">
        <f>Evaluation!S47</f>
        <v>#N/A</v>
      </c>
      <c r="T41" s="3" t="e">
        <f>Evaluation!T47</f>
        <v>#N/A</v>
      </c>
      <c r="U41" s="3" t="e">
        <f>Evaluation!U47</f>
        <v>#N/A</v>
      </c>
    </row>
    <row r="42" spans="1:21">
      <c r="A42" s="3" t="s">
        <v>537</v>
      </c>
      <c r="B42" s="3">
        <f>Evaluation!B48</f>
        <v>2</v>
      </c>
      <c r="C42" s="3">
        <f>Evaluation!C48</f>
        <v>2</v>
      </c>
      <c r="D42" s="3">
        <f>Evaluation!D48</f>
        <v>2</v>
      </c>
      <c r="E42" s="3">
        <f>Evaluation!E48</f>
        <v>1</v>
      </c>
      <c r="F42" s="3">
        <f>Evaluation!F48</f>
        <v>1</v>
      </c>
      <c r="G42" s="3">
        <f>Evaluation!G48</f>
        <v>1</v>
      </c>
      <c r="H42" s="3">
        <f>Evaluation!H48</f>
        <v>1</v>
      </c>
      <c r="I42" s="3">
        <f>Evaluation!I48</f>
        <v>2</v>
      </c>
      <c r="J42" s="3">
        <f>Evaluation!J48</f>
        <v>1</v>
      </c>
      <c r="K42" s="3">
        <f>Evaluation!K48</f>
        <v>2</v>
      </c>
      <c r="L42" s="3">
        <f>Evaluation!L48</f>
        <v>2</v>
      </c>
      <c r="M42" s="3">
        <f>Evaluation!M48</f>
        <v>2</v>
      </c>
      <c r="N42" s="3">
        <f>Evaluation!N48</f>
        <v>1</v>
      </c>
      <c r="O42" s="3">
        <f>Evaluation!O48</f>
        <v>1</v>
      </c>
      <c r="P42" s="3">
        <f>Evaluation!P48</f>
        <v>2</v>
      </c>
      <c r="Q42" s="3">
        <f>Evaluation!Q48</f>
        <v>2</v>
      </c>
      <c r="R42" s="3">
        <f>Evaluation!R48</f>
        <v>1</v>
      </c>
      <c r="S42" s="3">
        <f>Evaluation!S48</f>
        <v>1</v>
      </c>
      <c r="T42" s="3">
        <f>Evaluation!T48</f>
        <v>1</v>
      </c>
      <c r="U42" s="3">
        <f>Evaluation!U48</f>
        <v>1</v>
      </c>
    </row>
    <row r="43" spans="1:21">
      <c r="A43" s="3" t="s">
        <v>555</v>
      </c>
      <c r="B43" s="3">
        <f>Evaluation!B49</f>
        <v>3</v>
      </c>
      <c r="C43" s="3">
        <f>Evaluation!C49</f>
        <v>3</v>
      </c>
      <c r="D43" s="3">
        <f>Evaluation!D49</f>
        <v>2</v>
      </c>
      <c r="E43" s="3">
        <f>Evaluation!E49</f>
        <v>2</v>
      </c>
      <c r="F43" s="3">
        <f>Evaluation!F49</f>
        <v>3</v>
      </c>
      <c r="G43" s="3">
        <f>Evaluation!G49</f>
        <v>5</v>
      </c>
      <c r="H43" s="3">
        <f>Evaluation!H49</f>
        <v>4</v>
      </c>
      <c r="I43" s="3">
        <f>Evaluation!I49</f>
        <v>1</v>
      </c>
      <c r="J43" s="3">
        <f>Evaluation!J49</f>
        <v>1</v>
      </c>
      <c r="K43" s="3">
        <f>Evaluation!K49</f>
        <v>3</v>
      </c>
      <c r="L43" s="3">
        <f>Evaluation!L49</f>
        <v>3</v>
      </c>
      <c r="M43" s="3">
        <f>Evaluation!M49</f>
        <v>1</v>
      </c>
      <c r="N43" s="3">
        <f>Evaluation!N49</f>
        <v>4</v>
      </c>
      <c r="O43" s="3">
        <f>Evaluation!O49</f>
        <v>4</v>
      </c>
      <c r="P43" s="3">
        <f>Evaluation!P49</f>
        <v>2</v>
      </c>
      <c r="Q43" s="3">
        <f>Evaluation!Q49</f>
        <v>2</v>
      </c>
      <c r="R43" s="3">
        <f>Evaluation!R49</f>
        <v>3</v>
      </c>
      <c r="S43" s="3">
        <f>Evaluation!S49</f>
        <v>4</v>
      </c>
      <c r="T43" s="3">
        <f>Evaluation!T49</f>
        <v>4</v>
      </c>
      <c r="U43" s="3">
        <f>Evaluation!U49</f>
        <v>4</v>
      </c>
    </row>
    <row r="44" spans="1:21">
      <c r="A44" s="3" t="s">
        <v>553</v>
      </c>
      <c r="B44" s="3">
        <f>Evaluation!B50</f>
        <v>1</v>
      </c>
      <c r="C44" s="3">
        <f>Evaluation!C50</f>
        <v>1</v>
      </c>
      <c r="D44" s="3">
        <f>Evaluation!D50</f>
        <v>1</v>
      </c>
      <c r="E44" s="3">
        <f>Evaluation!E50</f>
        <v>2</v>
      </c>
      <c r="F44" s="3">
        <f>Evaluation!F50</f>
        <v>3</v>
      </c>
      <c r="G44" s="3">
        <f>Evaluation!G50</f>
        <v>3</v>
      </c>
      <c r="H44" s="3">
        <f>Evaluation!H50</f>
        <v>2</v>
      </c>
      <c r="I44" s="3">
        <f>Evaluation!I50</f>
        <v>1</v>
      </c>
      <c r="J44" s="3">
        <f>Evaluation!J50</f>
        <v>1</v>
      </c>
      <c r="K44" s="3">
        <f>Evaluation!K50</f>
        <v>1</v>
      </c>
      <c r="L44" s="3">
        <f>Evaluation!L50</f>
        <v>1</v>
      </c>
      <c r="M44" s="3">
        <f>Evaluation!M50</f>
        <v>1</v>
      </c>
      <c r="N44" s="3">
        <f>Evaluation!N50</f>
        <v>3</v>
      </c>
      <c r="O44" s="3">
        <f>Evaluation!O50</f>
        <v>2</v>
      </c>
      <c r="P44" s="3">
        <f>Evaluation!P50</f>
        <v>1</v>
      </c>
      <c r="Q44" s="3">
        <f>Evaluation!Q50</f>
        <v>1</v>
      </c>
      <c r="R44" s="3">
        <f>Evaluation!R50</f>
        <v>2</v>
      </c>
      <c r="S44" s="3">
        <f>Evaluation!S50</f>
        <v>2</v>
      </c>
      <c r="T44" s="3">
        <f>Evaluation!T50</f>
        <v>2</v>
      </c>
      <c r="U44" s="3">
        <f>Evaluation!U50</f>
        <v>2</v>
      </c>
    </row>
    <row r="45" spans="1:21">
      <c r="A45" s="3" t="s">
        <v>556</v>
      </c>
      <c r="B45" s="3">
        <f>Evaluation!B51</f>
        <v>3</v>
      </c>
      <c r="C45" s="3">
        <f>Evaluation!C51</f>
        <v>3</v>
      </c>
      <c r="D45" s="3">
        <f>Evaluation!D51</f>
        <v>2</v>
      </c>
      <c r="E45" s="3">
        <f>Evaluation!E51</f>
        <v>1</v>
      </c>
      <c r="F45" s="3">
        <f>Evaluation!F51</f>
        <v>1</v>
      </c>
      <c r="G45" s="3">
        <f>Evaluation!G51</f>
        <v>3</v>
      </c>
      <c r="H45" s="3">
        <f>Evaluation!H51</f>
        <v>3</v>
      </c>
      <c r="I45" s="3">
        <f>Evaluation!I51</f>
        <v>1</v>
      </c>
      <c r="J45" s="3">
        <f>Evaluation!J51</f>
        <v>1</v>
      </c>
      <c r="K45" s="3">
        <f>Evaluation!K51</f>
        <v>3</v>
      </c>
      <c r="L45" s="3">
        <f>Evaluation!L51</f>
        <v>3</v>
      </c>
      <c r="M45" s="3">
        <f>Evaluation!M51</f>
        <v>1</v>
      </c>
      <c r="N45" s="3">
        <f>Evaluation!N51</f>
        <v>2</v>
      </c>
      <c r="O45" s="3">
        <f>Evaluation!O51</f>
        <v>3</v>
      </c>
      <c r="P45" s="3">
        <f>Evaluation!P51</f>
        <v>2</v>
      </c>
      <c r="Q45" s="3">
        <f>Evaluation!Q51</f>
        <v>2</v>
      </c>
      <c r="R45" s="3">
        <f>Evaluation!R51</f>
        <v>2</v>
      </c>
      <c r="S45" s="3">
        <f>Evaluation!S51</f>
        <v>3</v>
      </c>
      <c r="T45" s="3">
        <f>Evaluation!T51</f>
        <v>3</v>
      </c>
      <c r="U45" s="3">
        <f>Evaluation!U51</f>
        <v>3</v>
      </c>
    </row>
    <row r="46" spans="1:21">
      <c r="A46" s="3" t="s">
        <v>557</v>
      </c>
      <c r="B46" s="3">
        <f>Evaluation!B52</f>
        <v>2</v>
      </c>
      <c r="C46" s="3">
        <f>Evaluation!C52</f>
        <v>2</v>
      </c>
      <c r="D46" s="3">
        <f>Evaluation!D52</f>
        <v>2</v>
      </c>
      <c r="E46" s="3">
        <f>Evaluation!E52</f>
        <v>2</v>
      </c>
      <c r="F46" s="3">
        <f>Evaluation!F52</f>
        <v>2</v>
      </c>
      <c r="G46" s="3">
        <f>Evaluation!G52</f>
        <v>2</v>
      </c>
      <c r="H46" s="3">
        <f>Evaluation!H52</f>
        <v>2</v>
      </c>
      <c r="I46" s="3">
        <f>Evaluation!I52</f>
        <v>2</v>
      </c>
      <c r="J46" s="3">
        <f>Evaluation!J52</f>
        <v>2</v>
      </c>
      <c r="K46" s="3">
        <f>Evaluation!K52</f>
        <v>2</v>
      </c>
      <c r="L46" s="3">
        <f>Evaluation!L52</f>
        <v>2</v>
      </c>
      <c r="M46" s="3">
        <f>Evaluation!M52</f>
        <v>2</v>
      </c>
      <c r="N46" s="3">
        <f>Evaluation!N52</f>
        <v>2</v>
      </c>
      <c r="O46" s="3">
        <f>Evaluation!O52</f>
        <v>2</v>
      </c>
      <c r="P46" s="3">
        <f>Evaluation!P52</f>
        <v>2</v>
      </c>
      <c r="Q46" s="3">
        <f>Evaluation!Q52</f>
        <v>2</v>
      </c>
      <c r="R46" s="3">
        <f>Evaluation!R52</f>
        <v>2</v>
      </c>
      <c r="S46" s="3">
        <f>Evaluation!S52</f>
        <v>2</v>
      </c>
      <c r="T46" s="3">
        <f>Evaluation!T52</f>
        <v>2</v>
      </c>
      <c r="U46" s="3">
        <f>Evaluation!U52</f>
        <v>2</v>
      </c>
    </row>
    <row r="47" spans="1:21">
      <c r="A47" s="3" t="s">
        <v>558</v>
      </c>
      <c r="B47" s="3" t="e">
        <f>Evaluation!B53</f>
        <v>#N/A</v>
      </c>
      <c r="C47" s="3" t="e">
        <f>Evaluation!C53</f>
        <v>#N/A</v>
      </c>
      <c r="D47" s="3" t="e">
        <f>Evaluation!D53</f>
        <v>#N/A</v>
      </c>
      <c r="E47" s="3" t="e">
        <f>Evaluation!E53</f>
        <v>#N/A</v>
      </c>
      <c r="F47" s="3" t="e">
        <f>Evaluation!F53</f>
        <v>#N/A</v>
      </c>
      <c r="G47" s="3" t="e">
        <f>Evaluation!G53</f>
        <v>#N/A</v>
      </c>
      <c r="H47" s="3" t="e">
        <f>Evaluation!H53</f>
        <v>#N/A</v>
      </c>
      <c r="I47" s="3" t="e">
        <f>Evaluation!I53</f>
        <v>#N/A</v>
      </c>
      <c r="J47" s="3" t="e">
        <f>Evaluation!J53</f>
        <v>#N/A</v>
      </c>
      <c r="K47" s="3" t="e">
        <f>Evaluation!K53</f>
        <v>#N/A</v>
      </c>
      <c r="L47" s="3" t="e">
        <f>Evaluation!L53</f>
        <v>#N/A</v>
      </c>
      <c r="M47" s="3" t="e">
        <f>Evaluation!M53</f>
        <v>#N/A</v>
      </c>
      <c r="N47" s="3" t="e">
        <f>Evaluation!N53</f>
        <v>#N/A</v>
      </c>
      <c r="O47" s="3" t="e">
        <f>Evaluation!O53</f>
        <v>#N/A</v>
      </c>
      <c r="P47" s="3" t="e">
        <f>Evaluation!P53</f>
        <v>#N/A</v>
      </c>
      <c r="Q47" s="3" t="e">
        <f>Evaluation!Q53</f>
        <v>#N/A</v>
      </c>
      <c r="R47" s="3" t="e">
        <f>Evaluation!R53</f>
        <v>#N/A</v>
      </c>
      <c r="S47" s="3" t="e">
        <f>Evaluation!S53</f>
        <v>#N/A</v>
      </c>
      <c r="T47" s="3" t="e">
        <f>Evaluation!T53</f>
        <v>#N/A</v>
      </c>
      <c r="U47" s="3" t="e">
        <f>Evaluation!U53</f>
        <v>#N/A</v>
      </c>
    </row>
    <row r="48" spans="1:21">
      <c r="A48" s="3" t="s">
        <v>559</v>
      </c>
      <c r="B48" s="3" t="e">
        <f>Evaluation!B54</f>
        <v>#N/A</v>
      </c>
      <c r="C48" s="3" t="e">
        <f>Evaluation!C54</f>
        <v>#N/A</v>
      </c>
      <c r="D48" s="3" t="e">
        <f>Evaluation!D54</f>
        <v>#N/A</v>
      </c>
      <c r="E48" s="3" t="e">
        <f>Evaluation!E54</f>
        <v>#N/A</v>
      </c>
      <c r="F48" s="3" t="e">
        <f>Evaluation!F54</f>
        <v>#N/A</v>
      </c>
      <c r="G48" s="3" t="e">
        <f>Evaluation!G54</f>
        <v>#N/A</v>
      </c>
      <c r="H48" s="3" t="e">
        <f>Evaluation!H54</f>
        <v>#N/A</v>
      </c>
      <c r="I48" s="3" t="e">
        <f>Evaluation!I54</f>
        <v>#N/A</v>
      </c>
      <c r="J48" s="3" t="e">
        <f>Evaluation!J54</f>
        <v>#N/A</v>
      </c>
      <c r="K48" s="3" t="e">
        <f>Evaluation!K54</f>
        <v>#N/A</v>
      </c>
      <c r="L48" s="3" t="e">
        <f>Evaluation!L54</f>
        <v>#N/A</v>
      </c>
      <c r="M48" s="3" t="e">
        <f>Evaluation!M54</f>
        <v>#N/A</v>
      </c>
      <c r="N48" s="3" t="e">
        <f>Evaluation!N54</f>
        <v>#N/A</v>
      </c>
      <c r="O48" s="3" t="e">
        <f>Evaluation!O54</f>
        <v>#N/A</v>
      </c>
      <c r="P48" s="3" t="e">
        <f>Evaluation!P54</f>
        <v>#N/A</v>
      </c>
      <c r="Q48" s="3" t="e">
        <f>Evaluation!Q54</f>
        <v>#N/A</v>
      </c>
      <c r="R48" s="3" t="e">
        <f>Evaluation!R54</f>
        <v>#N/A</v>
      </c>
      <c r="S48" s="3" t="e">
        <f>Evaluation!S54</f>
        <v>#N/A</v>
      </c>
      <c r="T48" s="3" t="e">
        <f>Evaluation!T54</f>
        <v>#N/A</v>
      </c>
      <c r="U48" s="3" t="e">
        <f>Evaluation!U54</f>
        <v>#N/A</v>
      </c>
    </row>
    <row r="49" spans="1:21">
      <c r="A49" s="3" t="s">
        <v>560</v>
      </c>
      <c r="B49" s="3" t="e">
        <f>Evaluation!B55</f>
        <v>#N/A</v>
      </c>
      <c r="C49" s="3" t="e">
        <f>Evaluation!C55</f>
        <v>#N/A</v>
      </c>
      <c r="D49" s="3" t="e">
        <f>Evaluation!D55</f>
        <v>#N/A</v>
      </c>
      <c r="E49" s="3" t="e">
        <f>Evaluation!E55</f>
        <v>#N/A</v>
      </c>
      <c r="F49" s="3" t="e">
        <f>Evaluation!F55</f>
        <v>#N/A</v>
      </c>
      <c r="G49" s="3" t="e">
        <f>Evaluation!G55</f>
        <v>#N/A</v>
      </c>
      <c r="H49" s="3" t="e">
        <f>Evaluation!H55</f>
        <v>#N/A</v>
      </c>
      <c r="I49" s="3" t="e">
        <f>Evaluation!I55</f>
        <v>#N/A</v>
      </c>
      <c r="J49" s="3" t="e">
        <f>Evaluation!J55</f>
        <v>#N/A</v>
      </c>
      <c r="K49" s="3" t="e">
        <f>Evaluation!K55</f>
        <v>#N/A</v>
      </c>
      <c r="L49" s="3" t="e">
        <f>Evaluation!L55</f>
        <v>#N/A</v>
      </c>
      <c r="M49" s="3" t="e">
        <f>Evaluation!M55</f>
        <v>#N/A</v>
      </c>
      <c r="N49" s="3" t="e">
        <f>Evaluation!N55</f>
        <v>#N/A</v>
      </c>
      <c r="O49" s="3" t="e">
        <f>Evaluation!O55</f>
        <v>#N/A</v>
      </c>
      <c r="P49" s="3" t="e">
        <f>Evaluation!P55</f>
        <v>#N/A</v>
      </c>
      <c r="Q49" s="3" t="e">
        <f>Evaluation!Q55</f>
        <v>#N/A</v>
      </c>
      <c r="R49" s="3" t="e">
        <f>Evaluation!R55</f>
        <v>#N/A</v>
      </c>
      <c r="S49" s="3" t="e">
        <f>Evaluation!S55</f>
        <v>#N/A</v>
      </c>
      <c r="T49" s="3" t="e">
        <f>Evaluation!T55</f>
        <v>#N/A</v>
      </c>
      <c r="U49" s="3" t="e">
        <f>Evaluation!U55</f>
        <v>#N/A</v>
      </c>
    </row>
    <row r="50" spans="1:21">
      <c r="A50" s="3" t="s">
        <v>561</v>
      </c>
      <c r="B50" s="3">
        <f>Evaluation!B56</f>
        <v>2</v>
      </c>
      <c r="C50" s="3">
        <f>Evaluation!C56</f>
        <v>3</v>
      </c>
      <c r="D50" s="3">
        <f>Evaluation!D56</f>
        <v>2</v>
      </c>
      <c r="E50" s="3">
        <f>Evaluation!E56</f>
        <v>3</v>
      </c>
      <c r="F50" s="3">
        <f>Evaluation!F56</f>
        <v>2</v>
      </c>
      <c r="G50" s="3">
        <f>Evaluation!G56</f>
        <v>3</v>
      </c>
      <c r="H50" s="3">
        <f>Evaluation!H56</f>
        <v>3</v>
      </c>
      <c r="I50" s="3">
        <f>Evaluation!I56</f>
        <v>4</v>
      </c>
      <c r="J50" s="3">
        <f>Evaluation!J56</f>
        <v>1</v>
      </c>
      <c r="K50" s="3">
        <f>Evaluation!K56</f>
        <v>2</v>
      </c>
      <c r="L50" s="3">
        <f>Evaluation!L56</f>
        <v>4</v>
      </c>
      <c r="M50" s="3">
        <f>Evaluation!M56</f>
        <v>3</v>
      </c>
      <c r="N50" s="3">
        <f>Evaluation!N56</f>
        <v>3</v>
      </c>
      <c r="O50" s="3">
        <f>Evaluation!O56</f>
        <v>4</v>
      </c>
      <c r="P50" s="3">
        <f>Evaluation!P56</f>
        <v>4</v>
      </c>
      <c r="Q50" s="3">
        <f>Evaluation!Q56</f>
        <v>4</v>
      </c>
      <c r="R50" s="3">
        <f>Evaluation!R56</f>
        <v>3</v>
      </c>
      <c r="S50" s="3">
        <f>Evaluation!S56</f>
        <v>1</v>
      </c>
      <c r="T50" s="3">
        <f>Evaluation!T56</f>
        <v>2</v>
      </c>
      <c r="U50" s="3">
        <f>Evaluation!U56</f>
        <v>3</v>
      </c>
    </row>
    <row r="51" spans="1:21">
      <c r="A51" s="3" t="s">
        <v>562</v>
      </c>
      <c r="B51" s="3" t="e">
        <f>Evaluation!B57</f>
        <v>#N/A</v>
      </c>
      <c r="C51" s="3" t="e">
        <f>Evaluation!C57</f>
        <v>#N/A</v>
      </c>
      <c r="D51" s="3" t="e">
        <f>Evaluation!D57</f>
        <v>#N/A</v>
      </c>
      <c r="E51" s="3" t="e">
        <f>Evaluation!E57</f>
        <v>#N/A</v>
      </c>
      <c r="F51" s="3" t="e">
        <f>Evaluation!F57</f>
        <v>#N/A</v>
      </c>
      <c r="G51" s="3" t="e">
        <f>Evaluation!G57</f>
        <v>#N/A</v>
      </c>
      <c r="H51" s="3" t="e">
        <f>Evaluation!H57</f>
        <v>#N/A</v>
      </c>
      <c r="I51" s="3" t="e">
        <f>Evaluation!I57</f>
        <v>#N/A</v>
      </c>
      <c r="J51" s="3" t="e">
        <f>Evaluation!J57</f>
        <v>#N/A</v>
      </c>
      <c r="K51" s="3" t="e">
        <f>Evaluation!K57</f>
        <v>#N/A</v>
      </c>
      <c r="L51" s="3" t="e">
        <f>Evaluation!L57</f>
        <v>#N/A</v>
      </c>
      <c r="M51" s="3" t="e">
        <f>Evaluation!M57</f>
        <v>#N/A</v>
      </c>
      <c r="N51" s="3" t="e">
        <f>Evaluation!N57</f>
        <v>#N/A</v>
      </c>
      <c r="O51" s="3" t="e">
        <f>Evaluation!O57</f>
        <v>#N/A</v>
      </c>
      <c r="P51" s="3" t="e">
        <f>Evaluation!P57</f>
        <v>#N/A</v>
      </c>
      <c r="Q51" s="3" t="e">
        <f>Evaluation!Q57</f>
        <v>#N/A</v>
      </c>
      <c r="R51" s="3" t="e">
        <f>Evaluation!R57</f>
        <v>#N/A</v>
      </c>
      <c r="S51" s="3" t="e">
        <f>Evaluation!S57</f>
        <v>#N/A</v>
      </c>
      <c r="T51" s="3" t="e">
        <f>Evaluation!T57</f>
        <v>#N/A</v>
      </c>
      <c r="U51" s="3" t="e">
        <f>Evaluation!U57</f>
        <v>#N/A</v>
      </c>
    </row>
    <row r="52" spans="1:21">
      <c r="A52" s="3" t="s">
        <v>563</v>
      </c>
      <c r="B52" s="3" t="e">
        <f>Evaluation!B58</f>
        <v>#N/A</v>
      </c>
      <c r="C52" s="3" t="e">
        <f>Evaluation!C58</f>
        <v>#N/A</v>
      </c>
      <c r="D52" s="3" t="e">
        <f>Evaluation!D58</f>
        <v>#N/A</v>
      </c>
      <c r="E52" s="3" t="e">
        <f>Evaluation!E58</f>
        <v>#N/A</v>
      </c>
      <c r="F52" s="3" t="e">
        <f>Evaluation!F58</f>
        <v>#N/A</v>
      </c>
      <c r="G52" s="3" t="e">
        <f>Evaluation!G58</f>
        <v>#N/A</v>
      </c>
      <c r="H52" s="3" t="e">
        <f>Evaluation!H58</f>
        <v>#N/A</v>
      </c>
      <c r="I52" s="3" t="e">
        <f>Evaluation!I58</f>
        <v>#N/A</v>
      </c>
      <c r="J52" s="3" t="e">
        <f>Evaluation!J58</f>
        <v>#N/A</v>
      </c>
      <c r="K52" s="3" t="e">
        <f>Evaluation!K58</f>
        <v>#N/A</v>
      </c>
      <c r="L52" s="3" t="e">
        <f>Evaluation!L58</f>
        <v>#N/A</v>
      </c>
      <c r="M52" s="3" t="e">
        <f>Evaluation!M58</f>
        <v>#N/A</v>
      </c>
      <c r="N52" s="3" t="e">
        <f>Evaluation!N58</f>
        <v>#N/A</v>
      </c>
      <c r="O52" s="3" t="e">
        <f>Evaluation!O58</f>
        <v>#N/A</v>
      </c>
      <c r="P52" s="3" t="e">
        <f>Evaluation!P58</f>
        <v>#N/A</v>
      </c>
      <c r="Q52" s="3" t="e">
        <f>Evaluation!Q58</f>
        <v>#N/A</v>
      </c>
      <c r="R52" s="3" t="e">
        <f>Evaluation!R58</f>
        <v>#N/A</v>
      </c>
      <c r="S52" s="3" t="e">
        <f>Evaluation!S58</f>
        <v>#N/A</v>
      </c>
      <c r="T52" s="3" t="e">
        <f>Evaluation!T58</f>
        <v>#N/A</v>
      </c>
      <c r="U52" s="3" t="e">
        <f>Evaluation!U58</f>
        <v>#N/A</v>
      </c>
    </row>
    <row r="53" spans="1:21">
      <c r="A53" s="3" t="s">
        <v>564</v>
      </c>
      <c r="B53" s="3" t="e">
        <f>Evaluation!B59</f>
        <v>#N/A</v>
      </c>
      <c r="C53" s="3" t="e">
        <f>Evaluation!C59</f>
        <v>#N/A</v>
      </c>
      <c r="D53" s="3" t="e">
        <f>Evaluation!D59</f>
        <v>#N/A</v>
      </c>
      <c r="E53" s="3" t="e">
        <f>Evaluation!E59</f>
        <v>#N/A</v>
      </c>
      <c r="F53" s="3" t="e">
        <f>Evaluation!F59</f>
        <v>#N/A</v>
      </c>
      <c r="G53" s="3" t="e">
        <f>Evaluation!G59</f>
        <v>#N/A</v>
      </c>
      <c r="H53" s="3" t="e">
        <f>Evaluation!H59</f>
        <v>#N/A</v>
      </c>
      <c r="I53" s="3" t="e">
        <f>Evaluation!I59</f>
        <v>#N/A</v>
      </c>
      <c r="J53" s="3" t="e">
        <f>Evaluation!J59</f>
        <v>#N/A</v>
      </c>
      <c r="K53" s="3" t="e">
        <f>Evaluation!K59</f>
        <v>#N/A</v>
      </c>
      <c r="L53" s="3" t="e">
        <f>Evaluation!L59</f>
        <v>#N/A</v>
      </c>
      <c r="M53" s="3" t="e">
        <f>Evaluation!M59</f>
        <v>#N/A</v>
      </c>
      <c r="N53" s="3" t="e">
        <f>Evaluation!N59</f>
        <v>#N/A</v>
      </c>
      <c r="O53" s="3" t="e">
        <f>Evaluation!O59</f>
        <v>#N/A</v>
      </c>
      <c r="P53" s="3" t="e">
        <f>Evaluation!P59</f>
        <v>#N/A</v>
      </c>
      <c r="Q53" s="3" t="e">
        <f>Evaluation!Q59</f>
        <v>#N/A</v>
      </c>
      <c r="R53" s="3" t="e">
        <f>Evaluation!R59</f>
        <v>#N/A</v>
      </c>
      <c r="S53" s="3" t="e">
        <f>Evaluation!S59</f>
        <v>#N/A</v>
      </c>
      <c r="T53" s="3" t="e">
        <f>Evaluation!T59</f>
        <v>#N/A</v>
      </c>
      <c r="U53" s="3" t="e">
        <f>Evaluation!U59</f>
        <v>#N/A</v>
      </c>
    </row>
    <row r="54" spans="1:21">
      <c r="A54" s="3" t="s">
        <v>565</v>
      </c>
      <c r="B54" s="3">
        <f>Evaluation!B60</f>
        <v>2</v>
      </c>
      <c r="C54" s="3">
        <f>Evaluation!C60</f>
        <v>2</v>
      </c>
      <c r="D54" s="3">
        <f>Evaluation!D60</f>
        <v>3</v>
      </c>
      <c r="E54" s="3">
        <f>Evaluation!E60</f>
        <v>2</v>
      </c>
      <c r="F54" s="3">
        <f>Evaluation!F60</f>
        <v>3</v>
      </c>
      <c r="G54" s="3">
        <f>Evaluation!G60</f>
        <v>2</v>
      </c>
      <c r="H54" s="3">
        <f>Evaluation!H60</f>
        <v>1</v>
      </c>
      <c r="I54" s="3">
        <f>Evaluation!I60</f>
        <v>3</v>
      </c>
      <c r="J54" s="3">
        <f>Evaluation!J60</f>
        <v>3</v>
      </c>
      <c r="K54" s="3">
        <f>Evaluation!K60</f>
        <v>3</v>
      </c>
      <c r="L54" s="3">
        <f>Evaluation!L60</f>
        <v>3</v>
      </c>
      <c r="M54" s="3">
        <f>Evaluation!M60</f>
        <v>3</v>
      </c>
      <c r="N54" s="3">
        <f>Evaluation!N60</f>
        <v>3</v>
      </c>
      <c r="O54" s="3">
        <f>Evaluation!O60</f>
        <v>3</v>
      </c>
      <c r="P54" s="3">
        <f>Evaluation!P60</f>
        <v>2</v>
      </c>
      <c r="Q54" s="3">
        <f>Evaluation!Q60</f>
        <v>3</v>
      </c>
      <c r="R54" s="3">
        <f>Evaluation!R60</f>
        <v>2</v>
      </c>
      <c r="S54" s="3">
        <f>Evaluation!S60</f>
        <v>2</v>
      </c>
      <c r="T54" s="3">
        <f>Evaluation!T60</f>
        <v>1</v>
      </c>
      <c r="U54" s="3">
        <f>Evaluation!U60</f>
        <v>1</v>
      </c>
    </row>
    <row r="55" spans="1:21">
      <c r="A55" s="3" t="s">
        <v>566</v>
      </c>
      <c r="B55" s="3">
        <f>Evaluation!B61</f>
        <v>2</v>
      </c>
      <c r="C55" s="3">
        <f>Evaluation!C61</f>
        <v>2</v>
      </c>
      <c r="D55" s="3">
        <f>Evaluation!D61</f>
        <v>3</v>
      </c>
      <c r="E55" s="3">
        <f>Evaluation!E61</f>
        <v>2</v>
      </c>
      <c r="F55" s="3">
        <f>Evaluation!F61</f>
        <v>3</v>
      </c>
      <c r="G55" s="3">
        <f>Evaluation!G61</f>
        <v>2</v>
      </c>
      <c r="H55" s="3">
        <f>Evaluation!H61</f>
        <v>1</v>
      </c>
      <c r="I55" s="3">
        <f>Evaluation!I61</f>
        <v>3</v>
      </c>
      <c r="J55" s="3">
        <f>Evaluation!J61</f>
        <v>3</v>
      </c>
      <c r="K55" s="3">
        <f>Evaluation!K61</f>
        <v>3</v>
      </c>
      <c r="L55" s="3">
        <f>Evaluation!L61</f>
        <v>3</v>
      </c>
      <c r="M55" s="3">
        <f>Evaluation!M61</f>
        <v>3</v>
      </c>
      <c r="N55" s="3">
        <f>Evaluation!N61</f>
        <v>3</v>
      </c>
      <c r="O55" s="3">
        <f>Evaluation!O61</f>
        <v>3</v>
      </c>
      <c r="P55" s="3">
        <f>Evaluation!P61</f>
        <v>2</v>
      </c>
      <c r="Q55" s="3">
        <f>Evaluation!Q61</f>
        <v>3</v>
      </c>
      <c r="R55" s="3">
        <f>Evaluation!R61</f>
        <v>2</v>
      </c>
      <c r="S55" s="3">
        <f>Evaluation!S61</f>
        <v>2</v>
      </c>
      <c r="T55" s="3">
        <f>Evaluation!T61</f>
        <v>1</v>
      </c>
      <c r="U55" s="3">
        <f>Evaluation!U61</f>
        <v>1</v>
      </c>
    </row>
    <row r="56" spans="1:21">
      <c r="A56" s="3" t="s">
        <v>567</v>
      </c>
      <c r="B56" s="3">
        <f>Evaluation!B62</f>
        <v>1</v>
      </c>
      <c r="C56" s="3">
        <f>Evaluation!C62</f>
        <v>1</v>
      </c>
      <c r="D56" s="3">
        <f>Evaluation!D62</f>
        <v>3</v>
      </c>
      <c r="E56" s="3">
        <f>Evaluation!E62</f>
        <v>3</v>
      </c>
      <c r="F56" s="3">
        <f>Evaluation!F62</f>
        <v>3</v>
      </c>
      <c r="G56" s="3">
        <f>Evaluation!G62</f>
        <v>1</v>
      </c>
      <c r="H56" s="3">
        <f>Evaluation!H62</f>
        <v>2</v>
      </c>
      <c r="I56" s="3">
        <f>Evaluation!I62</f>
        <v>3</v>
      </c>
      <c r="J56" s="3">
        <f>Evaluation!J62</f>
        <v>3</v>
      </c>
      <c r="K56" s="3">
        <f>Evaluation!K62</f>
        <v>3</v>
      </c>
      <c r="L56" s="3">
        <f>Evaluation!L62</f>
        <v>2</v>
      </c>
      <c r="M56" s="3">
        <f>Evaluation!M62</f>
        <v>2</v>
      </c>
      <c r="N56" s="3">
        <f>Evaluation!N62</f>
        <v>2</v>
      </c>
      <c r="O56" s="3">
        <f>Evaluation!O62</f>
        <v>2</v>
      </c>
      <c r="P56" s="3">
        <f>Evaluation!P62</f>
        <v>2</v>
      </c>
      <c r="Q56" s="3">
        <f>Evaluation!Q62</f>
        <v>3</v>
      </c>
      <c r="R56" s="3">
        <f>Evaluation!R62</f>
        <v>1</v>
      </c>
      <c r="S56" s="3">
        <f>Evaluation!S62</f>
        <v>1</v>
      </c>
      <c r="T56" s="3">
        <f>Evaluation!T62</f>
        <v>1</v>
      </c>
      <c r="U56" s="3">
        <f>Evaluation!U62</f>
        <v>1</v>
      </c>
    </row>
    <row r="57" spans="1:21">
      <c r="A57" s="3" t="s">
        <v>66</v>
      </c>
      <c r="B57" s="3" t="e">
        <f>Evaluation!B63</f>
        <v>#N/A</v>
      </c>
      <c r="C57" s="3" t="e">
        <f>Evaluation!C63</f>
        <v>#N/A</v>
      </c>
      <c r="D57" s="3" t="e">
        <f>Evaluation!D63</f>
        <v>#N/A</v>
      </c>
      <c r="E57" s="3" t="e">
        <f>Evaluation!E63</f>
        <v>#N/A</v>
      </c>
      <c r="F57" s="3" t="e">
        <f>Evaluation!F63</f>
        <v>#N/A</v>
      </c>
      <c r="G57" s="3" t="e">
        <f>Evaluation!G63</f>
        <v>#N/A</v>
      </c>
      <c r="H57" s="3" t="e">
        <f>Evaluation!H63</f>
        <v>#N/A</v>
      </c>
      <c r="I57" s="3" t="e">
        <f>Evaluation!I63</f>
        <v>#N/A</v>
      </c>
      <c r="J57" s="3" t="e">
        <f>Evaluation!J63</f>
        <v>#N/A</v>
      </c>
      <c r="K57" s="3" t="e">
        <f>Evaluation!K63</f>
        <v>#N/A</v>
      </c>
      <c r="L57" s="3" t="e">
        <f>Evaluation!L63</f>
        <v>#N/A</v>
      </c>
      <c r="M57" s="3" t="e">
        <f>Evaluation!M63</f>
        <v>#N/A</v>
      </c>
      <c r="N57" s="3" t="e">
        <f>Evaluation!N63</f>
        <v>#N/A</v>
      </c>
      <c r="O57" s="3" t="e">
        <f>Evaluation!O63</f>
        <v>#N/A</v>
      </c>
      <c r="P57" s="3" t="e">
        <f>Evaluation!P63</f>
        <v>#N/A</v>
      </c>
      <c r="Q57" s="3" t="e">
        <f>Evaluation!Q63</f>
        <v>#N/A</v>
      </c>
      <c r="R57" s="3" t="e">
        <f>Evaluation!R63</f>
        <v>#N/A</v>
      </c>
      <c r="S57" s="3" t="e">
        <f>Evaluation!S63</f>
        <v>#N/A</v>
      </c>
      <c r="T57" s="3" t="e">
        <f>Evaluation!T63</f>
        <v>#N/A</v>
      </c>
      <c r="U57" s="3" t="e">
        <f>Evaluation!U63</f>
        <v>#N/A</v>
      </c>
    </row>
    <row r="58" spans="1:21">
      <c r="A58" s="3" t="s">
        <v>568</v>
      </c>
      <c r="B58" s="3" t="e">
        <f>Evaluation!B64</f>
        <v>#N/A</v>
      </c>
      <c r="C58" s="3" t="e">
        <f>Evaluation!C64</f>
        <v>#N/A</v>
      </c>
      <c r="D58" s="3" t="e">
        <f>Evaluation!D64</f>
        <v>#N/A</v>
      </c>
      <c r="E58" s="3" t="e">
        <f>Evaluation!E64</f>
        <v>#N/A</v>
      </c>
      <c r="F58" s="3" t="e">
        <f>Evaluation!F64</f>
        <v>#N/A</v>
      </c>
      <c r="G58" s="3" t="e">
        <f>Evaluation!G64</f>
        <v>#N/A</v>
      </c>
      <c r="H58" s="3" t="e">
        <f>Evaluation!H64</f>
        <v>#N/A</v>
      </c>
      <c r="I58" s="3" t="e">
        <f>Evaluation!I64</f>
        <v>#N/A</v>
      </c>
      <c r="J58" s="3" t="e">
        <f>Evaluation!J64</f>
        <v>#N/A</v>
      </c>
      <c r="K58" s="3" t="e">
        <f>Evaluation!K64</f>
        <v>#N/A</v>
      </c>
      <c r="L58" s="3" t="e">
        <f>Evaluation!L64</f>
        <v>#N/A</v>
      </c>
      <c r="M58" s="3" t="e">
        <f>Evaluation!M64</f>
        <v>#N/A</v>
      </c>
      <c r="N58" s="3" t="e">
        <f>Evaluation!N64</f>
        <v>#N/A</v>
      </c>
      <c r="O58" s="3" t="e">
        <f>Evaluation!O64</f>
        <v>#N/A</v>
      </c>
      <c r="P58" s="3" t="e">
        <f>Evaluation!P64</f>
        <v>#N/A</v>
      </c>
      <c r="Q58" s="3" t="e">
        <f>Evaluation!Q64</f>
        <v>#N/A</v>
      </c>
      <c r="R58" s="3" t="e">
        <f>Evaluation!R64</f>
        <v>#N/A</v>
      </c>
      <c r="S58" s="3" t="e">
        <f>Evaluation!S64</f>
        <v>#N/A</v>
      </c>
      <c r="T58" s="3" t="e">
        <f>Evaluation!T64</f>
        <v>#N/A</v>
      </c>
      <c r="U58" s="3" t="e">
        <f>Evaluation!U64</f>
        <v>#N/A</v>
      </c>
    </row>
    <row r="59" spans="1:21">
      <c r="A59" s="3" t="s">
        <v>569</v>
      </c>
      <c r="B59" s="3" t="e">
        <f>Evaluation!B65</f>
        <v>#N/A</v>
      </c>
      <c r="C59" s="3" t="e">
        <f>Evaluation!C65</f>
        <v>#N/A</v>
      </c>
      <c r="D59" s="3" t="e">
        <f>Evaluation!D65</f>
        <v>#N/A</v>
      </c>
      <c r="E59" s="3" t="e">
        <f>Evaluation!E65</f>
        <v>#N/A</v>
      </c>
      <c r="F59" s="3" t="e">
        <f>Evaluation!F65</f>
        <v>#N/A</v>
      </c>
      <c r="G59" s="3" t="e">
        <f>Evaluation!G65</f>
        <v>#N/A</v>
      </c>
      <c r="H59" s="3" t="e">
        <f>Evaluation!H65</f>
        <v>#N/A</v>
      </c>
      <c r="I59" s="3" t="e">
        <f>Evaluation!I65</f>
        <v>#N/A</v>
      </c>
      <c r="J59" s="3" t="e">
        <f>Evaluation!J65</f>
        <v>#N/A</v>
      </c>
      <c r="K59" s="3" t="e">
        <f>Evaluation!K65</f>
        <v>#N/A</v>
      </c>
      <c r="L59" s="3" t="e">
        <f>Evaluation!L65</f>
        <v>#N/A</v>
      </c>
      <c r="M59" s="3" t="e">
        <f>Evaluation!M65</f>
        <v>#N/A</v>
      </c>
      <c r="N59" s="3" t="e">
        <f>Evaluation!N65</f>
        <v>#N/A</v>
      </c>
      <c r="O59" s="3" t="e">
        <f>Evaluation!O65</f>
        <v>#N/A</v>
      </c>
      <c r="P59" s="3" t="e">
        <f>Evaluation!P65</f>
        <v>#N/A</v>
      </c>
      <c r="Q59" s="3" t="e">
        <f>Evaluation!Q65</f>
        <v>#N/A</v>
      </c>
      <c r="R59" s="3" t="e">
        <f>Evaluation!R65</f>
        <v>#N/A</v>
      </c>
      <c r="S59" s="3" t="e">
        <f>Evaluation!S65</f>
        <v>#N/A</v>
      </c>
      <c r="T59" s="3" t="e">
        <f>Evaluation!T65</f>
        <v>#N/A</v>
      </c>
      <c r="U59" s="3" t="e">
        <f>Evaluation!U65</f>
        <v>#N/A</v>
      </c>
    </row>
    <row r="60" spans="1:21">
      <c r="A60" s="3" t="s">
        <v>303</v>
      </c>
      <c r="B60" s="3">
        <f>Evaluation!B66</f>
        <v>3</v>
      </c>
      <c r="C60" s="3">
        <f>Evaluation!C66</f>
        <v>3</v>
      </c>
      <c r="D60" s="3">
        <f>Evaluation!D66</f>
        <v>2</v>
      </c>
      <c r="E60" s="3">
        <f>Evaluation!E66</f>
        <v>2</v>
      </c>
      <c r="F60" s="3">
        <f>Evaluation!F66</f>
        <v>3</v>
      </c>
      <c r="G60" s="3">
        <f>Evaluation!G66</f>
        <v>2</v>
      </c>
      <c r="H60" s="3">
        <f>Evaluation!H66</f>
        <v>1</v>
      </c>
      <c r="I60" s="3">
        <f>Evaluation!I66</f>
        <v>2</v>
      </c>
      <c r="J60" s="3">
        <f>Evaluation!J66</f>
        <v>2</v>
      </c>
      <c r="K60" s="3">
        <f>Evaluation!K66</f>
        <v>3</v>
      </c>
      <c r="L60" s="3">
        <f>Evaluation!L66</f>
        <v>3</v>
      </c>
      <c r="M60" s="3">
        <f>Evaluation!M66</f>
        <v>3</v>
      </c>
      <c r="N60" s="3">
        <f>Evaluation!N66</f>
        <v>2</v>
      </c>
      <c r="O60" s="3">
        <f>Evaluation!O66</f>
        <v>2</v>
      </c>
      <c r="P60" s="3">
        <f>Evaluation!P66</f>
        <v>2</v>
      </c>
      <c r="Q60" s="3">
        <f>Evaluation!Q66</f>
        <v>3</v>
      </c>
      <c r="R60" s="3">
        <f>Evaluation!R66</f>
        <v>2</v>
      </c>
      <c r="S60" s="3">
        <f>Evaluation!S66</f>
        <v>1</v>
      </c>
      <c r="T60" s="3">
        <f>Evaluation!T66</f>
        <v>2</v>
      </c>
      <c r="U60" s="3">
        <f>Evaluation!U66</f>
        <v>2</v>
      </c>
    </row>
    <row r="61" spans="1:21">
      <c r="A61" s="3" t="s">
        <v>66</v>
      </c>
      <c r="B61" s="3" t="e">
        <f>Evaluation!B67</f>
        <v>#N/A</v>
      </c>
      <c r="C61" s="3" t="e">
        <f>Evaluation!C67</f>
        <v>#N/A</v>
      </c>
      <c r="D61" s="3" t="e">
        <f>Evaluation!D67</f>
        <v>#N/A</v>
      </c>
      <c r="E61" s="3" t="e">
        <f>Evaluation!E67</f>
        <v>#N/A</v>
      </c>
      <c r="F61" s="3" t="e">
        <f>Evaluation!F67</f>
        <v>#N/A</v>
      </c>
      <c r="G61" s="3" t="e">
        <f>Evaluation!G67</f>
        <v>#N/A</v>
      </c>
      <c r="H61" s="3" t="e">
        <f>Evaluation!H67</f>
        <v>#N/A</v>
      </c>
      <c r="I61" s="3" t="e">
        <f>Evaluation!I67</f>
        <v>#N/A</v>
      </c>
      <c r="J61" s="3" t="e">
        <f>Evaluation!J67</f>
        <v>#N/A</v>
      </c>
      <c r="K61" s="3" t="e">
        <f>Evaluation!K67</f>
        <v>#N/A</v>
      </c>
      <c r="L61" s="3" t="e">
        <f>Evaluation!L67</f>
        <v>#N/A</v>
      </c>
      <c r="M61" s="3" t="e">
        <f>Evaluation!M67</f>
        <v>#N/A</v>
      </c>
      <c r="N61" s="3" t="e">
        <f>Evaluation!N67</f>
        <v>#N/A</v>
      </c>
      <c r="O61" s="3" t="e">
        <f>Evaluation!O67</f>
        <v>#N/A</v>
      </c>
      <c r="P61" s="3" t="e">
        <f>Evaluation!P67</f>
        <v>#N/A</v>
      </c>
      <c r="Q61" s="3" t="e">
        <f>Evaluation!Q67</f>
        <v>#N/A</v>
      </c>
      <c r="R61" s="3" t="e">
        <f>Evaluation!R67</f>
        <v>#N/A</v>
      </c>
      <c r="S61" s="3" t="e">
        <f>Evaluation!S67</f>
        <v>#N/A</v>
      </c>
      <c r="T61" s="3" t="e">
        <f>Evaluation!T67</f>
        <v>#N/A</v>
      </c>
      <c r="U61" s="3" t="e">
        <f>Evaluation!U67</f>
        <v>#N/A</v>
      </c>
    </row>
    <row r="62" spans="1:21">
      <c r="A62" s="3" t="s">
        <v>570</v>
      </c>
      <c r="B62" s="3" t="e">
        <f>Evaluation!B68</f>
        <v>#N/A</v>
      </c>
      <c r="C62" s="3" t="e">
        <f>Evaluation!C68</f>
        <v>#N/A</v>
      </c>
      <c r="D62" s="3" t="e">
        <f>Evaluation!D68</f>
        <v>#N/A</v>
      </c>
      <c r="E62" s="3" t="e">
        <f>Evaluation!E68</f>
        <v>#N/A</v>
      </c>
      <c r="F62" s="3" t="e">
        <f>Evaluation!F68</f>
        <v>#N/A</v>
      </c>
      <c r="G62" s="3" t="e">
        <f>Evaluation!G68</f>
        <v>#N/A</v>
      </c>
      <c r="H62" s="3" t="e">
        <f>Evaluation!H68</f>
        <v>#N/A</v>
      </c>
      <c r="I62" s="3" t="e">
        <f>Evaluation!I68</f>
        <v>#N/A</v>
      </c>
      <c r="J62" s="3" t="e">
        <f>Evaluation!J68</f>
        <v>#N/A</v>
      </c>
      <c r="K62" s="3" t="e">
        <f>Evaluation!K68</f>
        <v>#N/A</v>
      </c>
      <c r="L62" s="3" t="e">
        <f>Evaluation!L68</f>
        <v>#N/A</v>
      </c>
      <c r="M62" s="3" t="e">
        <f>Evaluation!M68</f>
        <v>#N/A</v>
      </c>
      <c r="N62" s="3" t="e">
        <f>Evaluation!N68</f>
        <v>#N/A</v>
      </c>
      <c r="O62" s="3" t="e">
        <f>Evaluation!O68</f>
        <v>#N/A</v>
      </c>
      <c r="P62" s="3" t="e">
        <f>Evaluation!P68</f>
        <v>#N/A</v>
      </c>
      <c r="Q62" s="3" t="e">
        <f>Evaluation!Q68</f>
        <v>#N/A</v>
      </c>
      <c r="R62" s="3" t="e">
        <f>Evaluation!R68</f>
        <v>#N/A</v>
      </c>
      <c r="S62" s="3" t="e">
        <f>Evaluation!S68</f>
        <v>#N/A</v>
      </c>
      <c r="T62" s="3" t="e">
        <f>Evaluation!T68</f>
        <v>#N/A</v>
      </c>
      <c r="U62" s="3" t="e">
        <f>Evaluation!U68</f>
        <v>#N/A</v>
      </c>
    </row>
    <row r="63" spans="1:21">
      <c r="A63" s="3" t="s">
        <v>556</v>
      </c>
      <c r="B63" s="3">
        <f>Evaluation!B69</f>
        <v>3</v>
      </c>
      <c r="C63" s="3">
        <f>Evaluation!C69</f>
        <v>3</v>
      </c>
      <c r="D63" s="3">
        <f>Evaluation!D69</f>
        <v>2</v>
      </c>
      <c r="E63" s="3">
        <f>Evaluation!E69</f>
        <v>1</v>
      </c>
      <c r="F63" s="3">
        <f>Evaluation!F69</f>
        <v>1</v>
      </c>
      <c r="G63" s="3">
        <f>Evaluation!G69</f>
        <v>3</v>
      </c>
      <c r="H63" s="3">
        <f>Evaluation!H69</f>
        <v>3</v>
      </c>
      <c r="I63" s="3">
        <f>Evaluation!I69</f>
        <v>1</v>
      </c>
      <c r="J63" s="3">
        <f>Evaluation!J69</f>
        <v>1</v>
      </c>
      <c r="K63" s="3">
        <f>Evaluation!K69</f>
        <v>3</v>
      </c>
      <c r="L63" s="3">
        <f>Evaluation!L69</f>
        <v>3</v>
      </c>
      <c r="M63" s="3">
        <f>Evaluation!M69</f>
        <v>1</v>
      </c>
      <c r="N63" s="3">
        <f>Evaluation!N69</f>
        <v>2</v>
      </c>
      <c r="O63" s="3">
        <f>Evaluation!O69</f>
        <v>3</v>
      </c>
      <c r="P63" s="3">
        <f>Evaluation!P69</f>
        <v>2</v>
      </c>
      <c r="Q63" s="3">
        <f>Evaluation!Q69</f>
        <v>2</v>
      </c>
      <c r="R63" s="3">
        <f>Evaluation!R69</f>
        <v>2</v>
      </c>
      <c r="S63" s="3">
        <f>Evaluation!S69</f>
        <v>3</v>
      </c>
      <c r="T63" s="3">
        <f>Evaluation!T69</f>
        <v>3</v>
      </c>
      <c r="U63" s="3">
        <f>Evaluation!U69</f>
        <v>3</v>
      </c>
    </row>
    <row r="64" spans="1:21">
      <c r="A64" s="3" t="s">
        <v>66</v>
      </c>
      <c r="B64" s="3" t="e">
        <f>Evaluation!B70</f>
        <v>#N/A</v>
      </c>
      <c r="C64" s="3" t="e">
        <f>Evaluation!C70</f>
        <v>#N/A</v>
      </c>
      <c r="D64" s="3" t="e">
        <f>Evaluation!D70</f>
        <v>#N/A</v>
      </c>
      <c r="E64" s="3" t="e">
        <f>Evaluation!E70</f>
        <v>#N/A</v>
      </c>
      <c r="F64" s="3" t="e">
        <f>Evaluation!F70</f>
        <v>#N/A</v>
      </c>
      <c r="G64" s="3" t="e">
        <f>Evaluation!G70</f>
        <v>#N/A</v>
      </c>
      <c r="H64" s="3" t="e">
        <f>Evaluation!H70</f>
        <v>#N/A</v>
      </c>
      <c r="I64" s="3" t="e">
        <f>Evaluation!I70</f>
        <v>#N/A</v>
      </c>
      <c r="J64" s="3" t="e">
        <f>Evaluation!J70</f>
        <v>#N/A</v>
      </c>
      <c r="K64" s="3" t="e">
        <f>Evaluation!K70</f>
        <v>#N/A</v>
      </c>
      <c r="L64" s="3" t="e">
        <f>Evaluation!L70</f>
        <v>#N/A</v>
      </c>
      <c r="M64" s="3" t="e">
        <f>Evaluation!M70</f>
        <v>#N/A</v>
      </c>
      <c r="N64" s="3" t="e">
        <f>Evaluation!N70</f>
        <v>#N/A</v>
      </c>
      <c r="O64" s="3" t="e">
        <f>Evaluation!O70</f>
        <v>#N/A</v>
      </c>
      <c r="P64" s="3" t="e">
        <f>Evaluation!P70</f>
        <v>#N/A</v>
      </c>
      <c r="Q64" s="3" t="e">
        <f>Evaluation!Q70</f>
        <v>#N/A</v>
      </c>
      <c r="R64" s="3" t="e">
        <f>Evaluation!R70</f>
        <v>#N/A</v>
      </c>
      <c r="S64" s="3" t="e">
        <f>Evaluation!S70</f>
        <v>#N/A</v>
      </c>
      <c r="T64" s="3" t="e">
        <f>Evaluation!T70</f>
        <v>#N/A</v>
      </c>
      <c r="U64" s="3" t="e">
        <f>Evaluation!U70</f>
        <v>#N/A</v>
      </c>
    </row>
    <row r="65" spans="1:21">
      <c r="A65" s="3" t="s">
        <v>70</v>
      </c>
      <c r="B65" s="3" t="e">
        <f>Evaluation!B71</f>
        <v>#N/A</v>
      </c>
      <c r="C65" s="3" t="e">
        <f>Evaluation!C71</f>
        <v>#N/A</v>
      </c>
      <c r="D65" s="3" t="e">
        <f>Evaluation!D71</f>
        <v>#N/A</v>
      </c>
      <c r="E65" s="3" t="e">
        <f>Evaluation!E71</f>
        <v>#N/A</v>
      </c>
      <c r="F65" s="3" t="e">
        <f>Evaluation!F71</f>
        <v>#N/A</v>
      </c>
      <c r="G65" s="3" t="e">
        <f>Evaluation!G71</f>
        <v>#N/A</v>
      </c>
      <c r="H65" s="3" t="e">
        <f>Evaluation!H71</f>
        <v>#N/A</v>
      </c>
      <c r="I65" s="3" t="e">
        <f>Evaluation!I71</f>
        <v>#N/A</v>
      </c>
      <c r="J65" s="3" t="e">
        <f>Evaluation!J71</f>
        <v>#N/A</v>
      </c>
      <c r="K65" s="3" t="e">
        <f>Evaluation!K71</f>
        <v>#N/A</v>
      </c>
      <c r="L65" s="3" t="e">
        <f>Evaluation!L71</f>
        <v>#N/A</v>
      </c>
      <c r="M65" s="3" t="e">
        <f>Evaluation!M71</f>
        <v>#N/A</v>
      </c>
      <c r="N65" s="3" t="e">
        <f>Evaluation!N71</f>
        <v>#N/A</v>
      </c>
      <c r="O65" s="3" t="e">
        <f>Evaluation!O71</f>
        <v>#N/A</v>
      </c>
      <c r="P65" s="3" t="e">
        <f>Evaluation!P71</f>
        <v>#N/A</v>
      </c>
      <c r="Q65" s="3" t="e">
        <f>Evaluation!Q71</f>
        <v>#N/A</v>
      </c>
      <c r="R65" s="3" t="e">
        <f>Evaluation!R71</f>
        <v>#N/A</v>
      </c>
      <c r="S65" s="3" t="e">
        <f>Evaluation!S71</f>
        <v>#N/A</v>
      </c>
      <c r="T65" s="3" t="e">
        <f>Evaluation!T71</f>
        <v>#N/A</v>
      </c>
      <c r="U65" s="3" t="e">
        <f>Evaluation!U71</f>
        <v>#N/A</v>
      </c>
    </row>
    <row r="66" spans="1:21">
      <c r="A66" s="3" t="s">
        <v>571</v>
      </c>
      <c r="B66" s="3">
        <f>Evaluation!B72</f>
        <v>3</v>
      </c>
      <c r="C66" s="3">
        <f>Evaluation!C72</f>
        <v>3</v>
      </c>
      <c r="D66" s="3">
        <f>Evaluation!D72</f>
        <v>2</v>
      </c>
      <c r="E66" s="3">
        <f>Evaluation!E72</f>
        <v>2</v>
      </c>
      <c r="F66" s="3">
        <f>Evaluation!F72</f>
        <v>2</v>
      </c>
      <c r="G66" s="3">
        <f>Evaluation!G72</f>
        <v>2</v>
      </c>
      <c r="H66" s="3">
        <f>Evaluation!H72</f>
        <v>2</v>
      </c>
      <c r="I66" s="3">
        <f>Evaluation!I72</f>
        <v>3</v>
      </c>
      <c r="J66" s="3">
        <f>Evaluation!J72</f>
        <v>2</v>
      </c>
      <c r="K66" s="3">
        <f>Evaluation!K72</f>
        <v>3</v>
      </c>
      <c r="L66" s="3">
        <f>Evaluation!L72</f>
        <v>1</v>
      </c>
      <c r="M66" s="3">
        <f>Evaluation!M72</f>
        <v>2</v>
      </c>
      <c r="N66" s="3">
        <f>Evaluation!N72</f>
        <v>2</v>
      </c>
      <c r="O66" s="3">
        <f>Evaluation!O72</f>
        <v>2</v>
      </c>
      <c r="P66" s="3">
        <f>Evaluation!P72</f>
        <v>3</v>
      </c>
      <c r="Q66" s="3">
        <f>Evaluation!Q72</f>
        <v>1</v>
      </c>
      <c r="R66" s="3">
        <f>Evaluation!R72</f>
        <v>1</v>
      </c>
      <c r="S66" s="3">
        <f>Evaluation!S72</f>
        <v>3</v>
      </c>
      <c r="T66" s="3">
        <f>Evaluation!T72</f>
        <v>2</v>
      </c>
      <c r="U66" s="3">
        <f>Evaluation!U72</f>
        <v>2</v>
      </c>
    </row>
    <row r="67" spans="1:21">
      <c r="A67" s="3" t="s">
        <v>572</v>
      </c>
      <c r="B67" s="3" t="e">
        <f>Evaluation!B73</f>
        <v>#N/A</v>
      </c>
      <c r="C67" s="3" t="e">
        <f>Evaluation!C73</f>
        <v>#N/A</v>
      </c>
      <c r="D67" s="3" t="e">
        <f>Evaluation!D73</f>
        <v>#N/A</v>
      </c>
      <c r="E67" s="3" t="e">
        <f>Evaluation!E73</f>
        <v>#N/A</v>
      </c>
      <c r="F67" s="3" t="e">
        <f>Evaluation!F73</f>
        <v>#N/A</v>
      </c>
      <c r="G67" s="3" t="e">
        <f>Evaluation!G73</f>
        <v>#N/A</v>
      </c>
      <c r="H67" s="3" t="e">
        <f>Evaluation!H73</f>
        <v>#N/A</v>
      </c>
      <c r="I67" s="3" t="e">
        <f>Evaluation!I73</f>
        <v>#N/A</v>
      </c>
      <c r="J67" s="3" t="e">
        <f>Evaluation!J73</f>
        <v>#N/A</v>
      </c>
      <c r="K67" s="3" t="e">
        <f>Evaluation!K73</f>
        <v>#N/A</v>
      </c>
      <c r="L67" s="3" t="e">
        <f>Evaluation!L73</f>
        <v>#N/A</v>
      </c>
      <c r="M67" s="3" t="e">
        <f>Evaluation!M73</f>
        <v>#N/A</v>
      </c>
      <c r="N67" s="3" t="e">
        <f>Evaluation!N73</f>
        <v>#N/A</v>
      </c>
      <c r="O67" s="3" t="e">
        <f>Evaluation!O73</f>
        <v>#N/A</v>
      </c>
      <c r="P67" s="3" t="e">
        <f>Evaluation!P73</f>
        <v>#N/A</v>
      </c>
      <c r="Q67" s="3" t="e">
        <f>Evaluation!Q73</f>
        <v>#N/A</v>
      </c>
      <c r="R67" s="3" t="e">
        <f>Evaluation!R73</f>
        <v>#N/A</v>
      </c>
      <c r="S67" s="3" t="e">
        <f>Evaluation!S73</f>
        <v>#N/A</v>
      </c>
      <c r="T67" s="3" t="e">
        <f>Evaluation!T73</f>
        <v>#N/A</v>
      </c>
      <c r="U67" s="3" t="e">
        <f>Evaluation!U73</f>
        <v>#N/A</v>
      </c>
    </row>
    <row r="68" spans="1:21">
      <c r="A68" s="3" t="s">
        <v>477</v>
      </c>
      <c r="B68" s="3" t="e">
        <f>Evaluation!B74</f>
        <v>#N/A</v>
      </c>
      <c r="C68" s="3" t="e">
        <f>Evaluation!C74</f>
        <v>#N/A</v>
      </c>
      <c r="D68" s="3" t="e">
        <f>Evaluation!D74</f>
        <v>#N/A</v>
      </c>
      <c r="E68" s="3" t="e">
        <f>Evaluation!E74</f>
        <v>#N/A</v>
      </c>
      <c r="F68" s="3" t="e">
        <f>Evaluation!F74</f>
        <v>#N/A</v>
      </c>
      <c r="G68" s="3" t="e">
        <f>Evaluation!G74</f>
        <v>#N/A</v>
      </c>
      <c r="H68" s="3" t="e">
        <f>Evaluation!H74</f>
        <v>#N/A</v>
      </c>
      <c r="I68" s="3" t="e">
        <f>Evaluation!I74</f>
        <v>#N/A</v>
      </c>
      <c r="J68" s="3" t="e">
        <f>Evaluation!J74</f>
        <v>#N/A</v>
      </c>
      <c r="K68" s="3" t="e">
        <f>Evaluation!K74</f>
        <v>#N/A</v>
      </c>
      <c r="L68" s="3" t="e">
        <f>Evaluation!L74</f>
        <v>#N/A</v>
      </c>
      <c r="M68" s="3" t="e">
        <f>Evaluation!M74</f>
        <v>#N/A</v>
      </c>
      <c r="N68" s="3" t="e">
        <f>Evaluation!N74</f>
        <v>#N/A</v>
      </c>
      <c r="O68" s="3" t="e">
        <f>Evaluation!O74</f>
        <v>#N/A</v>
      </c>
      <c r="P68" s="3" t="e">
        <f>Evaluation!P74</f>
        <v>#N/A</v>
      </c>
      <c r="Q68" s="3" t="e">
        <f>Evaluation!Q74</f>
        <v>#N/A</v>
      </c>
      <c r="R68" s="3" t="e">
        <f>Evaluation!R74</f>
        <v>#N/A</v>
      </c>
      <c r="S68" s="3" t="e">
        <f>Evaluation!S74</f>
        <v>#N/A</v>
      </c>
      <c r="T68" s="3" t="e">
        <f>Evaluation!T74</f>
        <v>#N/A</v>
      </c>
      <c r="U68" s="3" t="e">
        <f>Evaluation!U74</f>
        <v>#N/A</v>
      </c>
    </row>
    <row r="69" spans="1:21">
      <c r="A69" s="3" t="s">
        <v>573</v>
      </c>
      <c r="B69" s="3">
        <f>Evaluation!B75</f>
        <v>3</v>
      </c>
      <c r="C69" s="3">
        <f>Evaluation!C75</f>
        <v>3</v>
      </c>
      <c r="D69" s="3">
        <f>Evaluation!D75</f>
        <v>2</v>
      </c>
      <c r="E69" s="3">
        <f>Evaluation!E75</f>
        <v>2</v>
      </c>
      <c r="F69" s="3">
        <f>Evaluation!F75</f>
        <v>3</v>
      </c>
      <c r="G69" s="3">
        <f>Evaluation!G75</f>
        <v>2</v>
      </c>
      <c r="H69" s="3">
        <f>Evaluation!H75</f>
        <v>1</v>
      </c>
      <c r="I69" s="3">
        <f>Evaluation!I75</f>
        <v>2</v>
      </c>
      <c r="J69" s="3">
        <f>Evaluation!J75</f>
        <v>2</v>
      </c>
      <c r="K69" s="3">
        <f>Evaluation!K75</f>
        <v>3</v>
      </c>
      <c r="L69" s="3">
        <f>Evaluation!L75</f>
        <v>3</v>
      </c>
      <c r="M69" s="3">
        <f>Evaluation!M75</f>
        <v>3</v>
      </c>
      <c r="N69" s="3">
        <f>Evaluation!N75</f>
        <v>2</v>
      </c>
      <c r="O69" s="3">
        <f>Evaluation!O75</f>
        <v>2</v>
      </c>
      <c r="P69" s="3">
        <f>Evaluation!P75</f>
        <v>2</v>
      </c>
      <c r="Q69" s="3">
        <f>Evaluation!Q75</f>
        <v>3</v>
      </c>
      <c r="R69" s="3">
        <f>Evaluation!R75</f>
        <v>2</v>
      </c>
      <c r="S69" s="3">
        <f>Evaluation!S75</f>
        <v>1</v>
      </c>
      <c r="T69" s="3">
        <f>Evaluation!T75</f>
        <v>2</v>
      </c>
      <c r="U69" s="3">
        <f>Evaluation!U75</f>
        <v>2</v>
      </c>
    </row>
    <row r="70" spans="1:21">
      <c r="A70" s="3" t="s">
        <v>574</v>
      </c>
      <c r="B70" s="3">
        <f>Evaluation!B76</f>
        <v>1</v>
      </c>
      <c r="C70" s="3">
        <f>Evaluation!C76</f>
        <v>1</v>
      </c>
      <c r="D70" s="3">
        <f>Evaluation!D76</f>
        <v>1</v>
      </c>
      <c r="E70" s="3">
        <f>Evaluation!E76</f>
        <v>2</v>
      </c>
      <c r="F70" s="3">
        <f>Evaluation!F76</f>
        <v>1</v>
      </c>
      <c r="G70" s="3">
        <f>Evaluation!G76</f>
        <v>1</v>
      </c>
      <c r="H70" s="3">
        <f>Evaluation!H76</f>
        <v>1</v>
      </c>
      <c r="I70" s="3">
        <f>Evaluation!I76</f>
        <v>1</v>
      </c>
      <c r="J70" s="3">
        <f>Evaluation!J76</f>
        <v>1</v>
      </c>
      <c r="K70" s="3">
        <f>Evaluation!K76</f>
        <v>2</v>
      </c>
      <c r="L70" s="3">
        <f>Evaluation!L76</f>
        <v>1</v>
      </c>
      <c r="M70" s="3">
        <f>Evaluation!M76</f>
        <v>1</v>
      </c>
      <c r="N70" s="3">
        <f>Evaluation!N76</f>
        <v>1</v>
      </c>
      <c r="O70" s="3">
        <f>Evaluation!O76</f>
        <v>1</v>
      </c>
      <c r="P70" s="3">
        <f>Evaluation!P76</f>
        <v>1</v>
      </c>
      <c r="Q70" s="3">
        <f>Evaluation!Q76</f>
        <v>1</v>
      </c>
      <c r="R70" s="3">
        <f>Evaluation!R76</f>
        <v>1</v>
      </c>
      <c r="S70" s="3">
        <f>Evaluation!S76</f>
        <v>1</v>
      </c>
      <c r="T70" s="3">
        <f>Evaluation!T76</f>
        <v>1</v>
      </c>
      <c r="U70" s="3">
        <f>Evaluation!U76</f>
        <v>1</v>
      </c>
    </row>
    <row r="71" spans="1:21">
      <c r="A71" s="3" t="s">
        <v>575</v>
      </c>
      <c r="B71" s="3" t="e">
        <f>Evaluation!B77</f>
        <v>#N/A</v>
      </c>
      <c r="C71" s="3" t="e">
        <f>Evaluation!C77</f>
        <v>#N/A</v>
      </c>
      <c r="D71" s="3" t="e">
        <f>Evaluation!D77</f>
        <v>#N/A</v>
      </c>
      <c r="E71" s="3" t="e">
        <f>Evaluation!E77</f>
        <v>#N/A</v>
      </c>
      <c r="F71" s="3" t="e">
        <f>Evaluation!F77</f>
        <v>#N/A</v>
      </c>
      <c r="G71" s="3" t="e">
        <f>Evaluation!G77</f>
        <v>#N/A</v>
      </c>
      <c r="H71" s="3" t="e">
        <f>Evaluation!H77</f>
        <v>#N/A</v>
      </c>
      <c r="I71" s="3" t="e">
        <f>Evaluation!I77</f>
        <v>#N/A</v>
      </c>
      <c r="J71" s="3" t="e">
        <f>Evaluation!J77</f>
        <v>#N/A</v>
      </c>
      <c r="K71" s="3" t="e">
        <f>Evaluation!K77</f>
        <v>#N/A</v>
      </c>
      <c r="L71" s="3" t="e">
        <f>Evaluation!L77</f>
        <v>#N/A</v>
      </c>
      <c r="M71" s="3" t="e">
        <f>Evaluation!M77</f>
        <v>#N/A</v>
      </c>
      <c r="N71" s="3" t="e">
        <f>Evaluation!N77</f>
        <v>#N/A</v>
      </c>
      <c r="O71" s="3" t="e">
        <f>Evaluation!O77</f>
        <v>#N/A</v>
      </c>
      <c r="P71" s="3" t="e">
        <f>Evaluation!P77</f>
        <v>#N/A</v>
      </c>
      <c r="Q71" s="3" t="e">
        <f>Evaluation!Q77</f>
        <v>#N/A</v>
      </c>
      <c r="R71" s="3" t="e">
        <f>Evaluation!R77</f>
        <v>#N/A</v>
      </c>
      <c r="S71" s="3" t="e">
        <f>Evaluation!S77</f>
        <v>#N/A</v>
      </c>
      <c r="T71" s="3" t="e">
        <f>Evaluation!T77</f>
        <v>#N/A</v>
      </c>
      <c r="U71" s="3" t="e">
        <f>Evaluation!U77</f>
        <v>#N/A</v>
      </c>
    </row>
    <row r="72" spans="1:21">
      <c r="A72" s="3" t="s">
        <v>71</v>
      </c>
      <c r="B72" s="3" t="e">
        <f>Evaluation!B78</f>
        <v>#N/A</v>
      </c>
      <c r="C72" s="3" t="e">
        <f>Evaluation!C78</f>
        <v>#N/A</v>
      </c>
      <c r="D72" s="3" t="e">
        <f>Evaluation!D78</f>
        <v>#N/A</v>
      </c>
      <c r="E72" s="3" t="e">
        <f>Evaluation!E78</f>
        <v>#N/A</v>
      </c>
      <c r="F72" s="3" t="e">
        <f>Evaluation!F78</f>
        <v>#N/A</v>
      </c>
      <c r="G72" s="3" t="e">
        <f>Evaluation!G78</f>
        <v>#N/A</v>
      </c>
      <c r="H72" s="3" t="e">
        <f>Evaluation!H78</f>
        <v>#N/A</v>
      </c>
      <c r="I72" s="3" t="e">
        <f>Evaluation!I78</f>
        <v>#N/A</v>
      </c>
      <c r="J72" s="3" t="e">
        <f>Evaluation!J78</f>
        <v>#N/A</v>
      </c>
      <c r="K72" s="3" t="e">
        <f>Evaluation!K78</f>
        <v>#N/A</v>
      </c>
      <c r="L72" s="3" t="e">
        <f>Evaluation!L78</f>
        <v>#N/A</v>
      </c>
      <c r="M72" s="3" t="e">
        <f>Evaluation!M78</f>
        <v>#N/A</v>
      </c>
      <c r="N72" s="3" t="e">
        <f>Evaluation!N78</f>
        <v>#N/A</v>
      </c>
      <c r="O72" s="3" t="e">
        <f>Evaluation!O78</f>
        <v>#N/A</v>
      </c>
      <c r="P72" s="3" t="e">
        <f>Evaluation!P78</f>
        <v>#N/A</v>
      </c>
      <c r="Q72" s="3" t="e">
        <f>Evaluation!Q78</f>
        <v>#N/A</v>
      </c>
      <c r="R72" s="3" t="e">
        <f>Evaluation!R78</f>
        <v>#N/A</v>
      </c>
      <c r="S72" s="3" t="e">
        <f>Evaluation!S78</f>
        <v>#N/A</v>
      </c>
      <c r="T72" s="3" t="e">
        <f>Evaluation!T78</f>
        <v>#N/A</v>
      </c>
      <c r="U72" s="3" t="e">
        <f>Evaluation!U78</f>
        <v>#N/A</v>
      </c>
    </row>
    <row r="73" spans="1:21">
      <c r="A73" s="3" t="s">
        <v>576</v>
      </c>
      <c r="B73" s="3">
        <f>Evaluation!B79</f>
        <v>2</v>
      </c>
      <c r="C73" s="3">
        <f>Evaluation!C79</f>
        <v>2</v>
      </c>
      <c r="D73" s="3">
        <f>Evaluation!D79</f>
        <v>2</v>
      </c>
      <c r="E73" s="3">
        <f>Evaluation!E79</f>
        <v>2</v>
      </c>
      <c r="F73" s="3">
        <f>Evaluation!F79</f>
        <v>3</v>
      </c>
      <c r="G73" s="3">
        <f>Evaluation!G79</f>
        <v>2</v>
      </c>
      <c r="H73" s="3">
        <f>Evaluation!H79</f>
        <v>2</v>
      </c>
      <c r="I73" s="3">
        <f>Evaluation!I79</f>
        <v>2</v>
      </c>
      <c r="J73" s="3">
        <f>Evaluation!J79</f>
        <v>2</v>
      </c>
      <c r="K73" s="3">
        <f>Evaluation!K79</f>
        <v>2</v>
      </c>
      <c r="L73" s="3">
        <f>Evaluation!L79</f>
        <v>2</v>
      </c>
      <c r="M73" s="3">
        <f>Evaluation!M79</f>
        <v>2</v>
      </c>
      <c r="N73" s="3">
        <f>Evaluation!N79</f>
        <v>2</v>
      </c>
      <c r="O73" s="3">
        <f>Evaluation!O79</f>
        <v>2</v>
      </c>
      <c r="P73" s="3">
        <f>Evaluation!P79</f>
        <v>2</v>
      </c>
      <c r="Q73" s="3">
        <f>Evaluation!Q79</f>
        <v>2</v>
      </c>
      <c r="R73" s="3">
        <f>Evaluation!R79</f>
        <v>2</v>
      </c>
      <c r="S73" s="3">
        <f>Evaluation!S79</f>
        <v>1</v>
      </c>
      <c r="T73" s="3">
        <f>Evaluation!T79</f>
        <v>3</v>
      </c>
      <c r="U73" s="3">
        <f>Evaluation!U79</f>
        <v>2</v>
      </c>
    </row>
    <row r="74" spans="1:21">
      <c r="A74" s="3" t="s">
        <v>577</v>
      </c>
      <c r="B74" s="3">
        <f>Evaluation!B80</f>
        <v>2</v>
      </c>
      <c r="C74" s="3">
        <f>Evaluation!C80</f>
        <v>2</v>
      </c>
      <c r="D74" s="3">
        <f>Evaluation!D80</f>
        <v>3</v>
      </c>
      <c r="E74" s="3">
        <f>Evaluation!E80</f>
        <v>2</v>
      </c>
      <c r="F74" s="3">
        <f>Evaluation!F80</f>
        <v>3</v>
      </c>
      <c r="G74" s="3">
        <f>Evaluation!G80</f>
        <v>2</v>
      </c>
      <c r="H74" s="3">
        <f>Evaluation!H80</f>
        <v>3</v>
      </c>
      <c r="I74" s="3">
        <f>Evaluation!I80</f>
        <v>3</v>
      </c>
      <c r="J74" s="3">
        <f>Evaluation!J80</f>
        <v>3</v>
      </c>
      <c r="K74" s="3">
        <f>Evaluation!K80</f>
        <v>3</v>
      </c>
      <c r="L74" s="3">
        <f>Evaluation!L80</f>
        <v>3</v>
      </c>
      <c r="M74" s="3">
        <f>Evaluation!M80</f>
        <v>3</v>
      </c>
      <c r="N74" s="3">
        <f>Evaluation!N80</f>
        <v>3</v>
      </c>
      <c r="O74" s="3">
        <f>Evaluation!O80</f>
        <v>2</v>
      </c>
      <c r="P74" s="3">
        <f>Evaluation!P80</f>
        <v>3</v>
      </c>
      <c r="Q74" s="3">
        <f>Evaluation!Q80</f>
        <v>2</v>
      </c>
      <c r="R74" s="3">
        <f>Evaluation!R80</f>
        <v>3</v>
      </c>
      <c r="S74" s="3">
        <f>Evaluation!S80</f>
        <v>1</v>
      </c>
      <c r="T74" s="3">
        <f>Evaluation!T80</f>
        <v>3</v>
      </c>
      <c r="U74" s="3">
        <f>Evaluation!U80</f>
        <v>3</v>
      </c>
    </row>
    <row r="75" spans="1:21">
      <c r="A75" s="3" t="s">
        <v>578</v>
      </c>
      <c r="B75" s="3">
        <f>Evaluation!B81</f>
        <v>1</v>
      </c>
      <c r="C75" s="3">
        <f>Evaluation!C81</f>
        <v>1</v>
      </c>
      <c r="D75" s="3">
        <f>Evaluation!D81</f>
        <v>1</v>
      </c>
      <c r="E75" s="3">
        <f>Evaluation!E81</f>
        <v>1</v>
      </c>
      <c r="F75" s="3">
        <f>Evaluation!F81</f>
        <v>2</v>
      </c>
      <c r="G75" s="3">
        <f>Evaluation!G81</f>
        <v>1</v>
      </c>
      <c r="H75" s="3">
        <f>Evaluation!H81</f>
        <v>1</v>
      </c>
      <c r="I75" s="3">
        <f>Evaluation!I81</f>
        <v>1</v>
      </c>
      <c r="J75" s="3">
        <f>Evaluation!J81</f>
        <v>1</v>
      </c>
      <c r="K75" s="3">
        <f>Evaluation!K81</f>
        <v>1</v>
      </c>
      <c r="L75" s="3">
        <f>Evaluation!L81</f>
        <v>1</v>
      </c>
      <c r="M75" s="3">
        <f>Evaluation!M81</f>
        <v>1</v>
      </c>
      <c r="N75" s="3">
        <f>Evaluation!N81</f>
        <v>1</v>
      </c>
      <c r="O75" s="3">
        <f>Evaluation!O81</f>
        <v>1</v>
      </c>
      <c r="P75" s="3">
        <f>Evaluation!P81</f>
        <v>1</v>
      </c>
      <c r="Q75" s="3">
        <f>Evaluation!Q81</f>
        <v>2</v>
      </c>
      <c r="R75" s="3">
        <f>Evaluation!R81</f>
        <v>1</v>
      </c>
      <c r="S75" s="3">
        <f>Evaluation!S81</f>
        <v>1</v>
      </c>
      <c r="T75" s="3">
        <f>Evaluation!T81</f>
        <v>2</v>
      </c>
      <c r="U75" s="3">
        <f>Evaluation!U81</f>
        <v>1</v>
      </c>
    </row>
    <row r="76" spans="1:21">
      <c r="A76" s="3" t="s">
        <v>579</v>
      </c>
      <c r="B76" s="3" t="e">
        <f>Evaluation!B82</f>
        <v>#N/A</v>
      </c>
      <c r="C76" s="3" t="e">
        <f>Evaluation!C82</f>
        <v>#N/A</v>
      </c>
      <c r="D76" s="3" t="e">
        <f>Evaluation!D82</f>
        <v>#N/A</v>
      </c>
      <c r="E76" s="3" t="e">
        <f>Evaluation!E82</f>
        <v>#N/A</v>
      </c>
      <c r="F76" s="3" t="e">
        <f>Evaluation!F82</f>
        <v>#N/A</v>
      </c>
      <c r="G76" s="3" t="e">
        <f>Evaluation!G82</f>
        <v>#N/A</v>
      </c>
      <c r="H76" s="3" t="e">
        <f>Evaluation!H82</f>
        <v>#N/A</v>
      </c>
      <c r="I76" s="3" t="e">
        <f>Evaluation!I82</f>
        <v>#N/A</v>
      </c>
      <c r="J76" s="3" t="e">
        <f>Evaluation!J82</f>
        <v>#N/A</v>
      </c>
      <c r="K76" s="3" t="e">
        <f>Evaluation!K82</f>
        <v>#N/A</v>
      </c>
      <c r="L76" s="3" t="e">
        <f>Evaluation!L82</f>
        <v>#N/A</v>
      </c>
      <c r="M76" s="3" t="e">
        <f>Evaluation!M82</f>
        <v>#N/A</v>
      </c>
      <c r="N76" s="3" t="e">
        <f>Evaluation!N82</f>
        <v>#N/A</v>
      </c>
      <c r="O76" s="3" t="e">
        <f>Evaluation!O82</f>
        <v>#N/A</v>
      </c>
      <c r="P76" s="3" t="e">
        <f>Evaluation!P82</f>
        <v>#N/A</v>
      </c>
      <c r="Q76" s="3" t="e">
        <f>Evaluation!Q82</f>
        <v>#N/A</v>
      </c>
      <c r="R76" s="3" t="e">
        <f>Evaluation!R82</f>
        <v>#N/A</v>
      </c>
      <c r="S76" s="3" t="e">
        <f>Evaluation!S82</f>
        <v>#N/A</v>
      </c>
      <c r="T76" s="3" t="e">
        <f>Evaluation!T82</f>
        <v>#N/A</v>
      </c>
      <c r="U76" s="3" t="e">
        <f>Evaluation!U82</f>
        <v>#N/A</v>
      </c>
    </row>
    <row r="77" spans="1:21">
      <c r="A77" s="3" t="s">
        <v>580</v>
      </c>
      <c r="B77" s="3" t="e">
        <f>Evaluation!B83</f>
        <v>#N/A</v>
      </c>
      <c r="C77" s="3" t="e">
        <f>Evaluation!C83</f>
        <v>#N/A</v>
      </c>
      <c r="D77" s="3" t="e">
        <f>Evaluation!D83</f>
        <v>#N/A</v>
      </c>
      <c r="E77" s="3" t="e">
        <f>Evaluation!E83</f>
        <v>#N/A</v>
      </c>
      <c r="F77" s="3" t="e">
        <f>Evaluation!F83</f>
        <v>#N/A</v>
      </c>
      <c r="G77" s="3" t="e">
        <f>Evaluation!G83</f>
        <v>#N/A</v>
      </c>
      <c r="H77" s="3" t="e">
        <f>Evaluation!H83</f>
        <v>#N/A</v>
      </c>
      <c r="I77" s="3" t="e">
        <f>Evaluation!I83</f>
        <v>#N/A</v>
      </c>
      <c r="J77" s="3" t="e">
        <f>Evaluation!J83</f>
        <v>#N/A</v>
      </c>
      <c r="K77" s="3" t="e">
        <f>Evaluation!K83</f>
        <v>#N/A</v>
      </c>
      <c r="L77" s="3" t="e">
        <f>Evaluation!L83</f>
        <v>#N/A</v>
      </c>
      <c r="M77" s="3" t="e">
        <f>Evaluation!M83</f>
        <v>#N/A</v>
      </c>
      <c r="N77" s="3" t="e">
        <f>Evaluation!N83</f>
        <v>#N/A</v>
      </c>
      <c r="O77" s="3" t="e">
        <f>Evaluation!O83</f>
        <v>#N/A</v>
      </c>
      <c r="P77" s="3" t="e">
        <f>Evaluation!P83</f>
        <v>#N/A</v>
      </c>
      <c r="Q77" s="3" t="e">
        <f>Evaluation!Q83</f>
        <v>#N/A</v>
      </c>
      <c r="R77" s="3" t="e">
        <f>Evaluation!R83</f>
        <v>#N/A</v>
      </c>
      <c r="S77" s="3" t="e">
        <f>Evaluation!S83</f>
        <v>#N/A</v>
      </c>
      <c r="T77" s="3" t="e">
        <f>Evaluation!T83</f>
        <v>#N/A</v>
      </c>
      <c r="U77" s="3" t="e">
        <f>Evaluation!U83</f>
        <v>#N/A</v>
      </c>
    </row>
    <row r="78" spans="1:21">
      <c r="A78" s="3" t="s">
        <v>468</v>
      </c>
      <c r="B78" s="3" t="e">
        <f>Evaluation!B84</f>
        <v>#N/A</v>
      </c>
      <c r="C78" s="3" t="e">
        <f>Evaluation!C84</f>
        <v>#N/A</v>
      </c>
      <c r="D78" s="3" t="e">
        <f>Evaluation!D84</f>
        <v>#N/A</v>
      </c>
      <c r="E78" s="3" t="e">
        <f>Evaluation!E84</f>
        <v>#N/A</v>
      </c>
      <c r="F78" s="3" t="e">
        <f>Evaluation!F84</f>
        <v>#N/A</v>
      </c>
      <c r="G78" s="3" t="e">
        <f>Evaluation!G84</f>
        <v>#N/A</v>
      </c>
      <c r="H78" s="3" t="e">
        <f>Evaluation!H84</f>
        <v>#N/A</v>
      </c>
      <c r="I78" s="3" t="e">
        <f>Evaluation!I84</f>
        <v>#N/A</v>
      </c>
      <c r="J78" s="3" t="e">
        <f>Evaluation!J84</f>
        <v>#N/A</v>
      </c>
      <c r="K78" s="3" t="e">
        <f>Evaluation!K84</f>
        <v>#N/A</v>
      </c>
      <c r="L78" s="3" t="e">
        <f>Evaluation!L84</f>
        <v>#N/A</v>
      </c>
      <c r="M78" s="3" t="e">
        <f>Evaluation!M84</f>
        <v>#N/A</v>
      </c>
      <c r="N78" s="3" t="e">
        <f>Evaluation!N84</f>
        <v>#N/A</v>
      </c>
      <c r="O78" s="3" t="e">
        <f>Evaluation!O84</f>
        <v>#N/A</v>
      </c>
      <c r="P78" s="3" t="e">
        <f>Evaluation!P84</f>
        <v>#N/A</v>
      </c>
      <c r="Q78" s="3" t="e">
        <f>Evaluation!Q84</f>
        <v>#N/A</v>
      </c>
      <c r="R78" s="3" t="e">
        <f>Evaluation!R84</f>
        <v>#N/A</v>
      </c>
      <c r="S78" s="3" t="e">
        <f>Evaluation!S84</f>
        <v>#N/A</v>
      </c>
      <c r="T78" s="3" t="e">
        <f>Evaluation!T84</f>
        <v>#N/A</v>
      </c>
      <c r="U78" s="3" t="e">
        <f>Evaluation!U84</f>
        <v>#N/A</v>
      </c>
    </row>
    <row r="79" spans="1:21">
      <c r="A79" s="3" t="s">
        <v>581</v>
      </c>
      <c r="B79" s="3" t="e">
        <f>Evaluation!B85</f>
        <v>#N/A</v>
      </c>
      <c r="C79" s="3" t="e">
        <f>Evaluation!C85</f>
        <v>#N/A</v>
      </c>
      <c r="D79" s="3" t="e">
        <f>Evaluation!D85</f>
        <v>#N/A</v>
      </c>
      <c r="E79" s="3" t="e">
        <f>Evaluation!E85</f>
        <v>#N/A</v>
      </c>
      <c r="F79" s="3" t="e">
        <f>Evaluation!F85</f>
        <v>#N/A</v>
      </c>
      <c r="G79" s="3" t="e">
        <f>Evaluation!G85</f>
        <v>#N/A</v>
      </c>
      <c r="H79" s="3" t="e">
        <f>Evaluation!H85</f>
        <v>#N/A</v>
      </c>
      <c r="I79" s="3" t="e">
        <f>Evaluation!I85</f>
        <v>#N/A</v>
      </c>
      <c r="J79" s="3" t="e">
        <f>Evaluation!J85</f>
        <v>#N/A</v>
      </c>
      <c r="K79" s="3" t="e">
        <f>Evaluation!K85</f>
        <v>#N/A</v>
      </c>
      <c r="L79" s="3" t="e">
        <f>Evaluation!L85</f>
        <v>#N/A</v>
      </c>
      <c r="M79" s="3" t="e">
        <f>Evaluation!M85</f>
        <v>#N/A</v>
      </c>
      <c r="N79" s="3" t="e">
        <f>Evaluation!N85</f>
        <v>#N/A</v>
      </c>
      <c r="O79" s="3" t="e">
        <f>Evaluation!O85</f>
        <v>#N/A</v>
      </c>
      <c r="P79" s="3" t="e">
        <f>Evaluation!P85</f>
        <v>#N/A</v>
      </c>
      <c r="Q79" s="3" t="e">
        <f>Evaluation!Q85</f>
        <v>#N/A</v>
      </c>
      <c r="R79" s="3" t="e">
        <f>Evaluation!R85</f>
        <v>#N/A</v>
      </c>
      <c r="S79" s="3" t="e">
        <f>Evaluation!S85</f>
        <v>#N/A</v>
      </c>
      <c r="T79" s="3" t="e">
        <f>Evaluation!T85</f>
        <v>#N/A</v>
      </c>
      <c r="U79" s="3" t="e">
        <f>Evaluation!U85</f>
        <v>#N/A</v>
      </c>
    </row>
    <row r="80" spans="1:21">
      <c r="A80" s="3" t="s">
        <v>530</v>
      </c>
      <c r="B80" s="3">
        <f>Evaluation!B86</f>
        <v>2</v>
      </c>
      <c r="C80" s="3">
        <f>Evaluation!C86</f>
        <v>3</v>
      </c>
      <c r="D80" s="3">
        <f>Evaluation!D86</f>
        <v>3</v>
      </c>
      <c r="E80" s="3">
        <f>Evaluation!E86</f>
        <v>1</v>
      </c>
      <c r="F80" s="3">
        <f>Evaluation!F86</f>
        <v>2</v>
      </c>
      <c r="G80" s="3">
        <f>Evaluation!G86</f>
        <v>2</v>
      </c>
      <c r="H80" s="3">
        <f>Evaluation!H86</f>
        <v>1</v>
      </c>
      <c r="I80" s="3">
        <f>Evaluation!I86</f>
        <v>3</v>
      </c>
      <c r="J80" s="3">
        <f>Evaluation!J86</f>
        <v>2</v>
      </c>
      <c r="K80" s="3">
        <f>Evaluation!K86</f>
        <v>3</v>
      </c>
      <c r="L80" s="3">
        <f>Evaluation!L86</f>
        <v>4</v>
      </c>
      <c r="M80" s="3">
        <f>Evaluation!M86</f>
        <v>4</v>
      </c>
      <c r="N80" s="3">
        <f>Evaluation!N86</f>
        <v>2</v>
      </c>
      <c r="O80" s="3">
        <f>Evaluation!O86</f>
        <v>3</v>
      </c>
      <c r="P80" s="3">
        <f>Evaluation!P86</f>
        <v>4</v>
      </c>
      <c r="Q80" s="3">
        <f>Evaluation!Q86</f>
        <v>4</v>
      </c>
      <c r="R80" s="3">
        <f>Evaluation!R86</f>
        <v>2</v>
      </c>
      <c r="S80" s="3">
        <f>Evaluation!S86</f>
        <v>1</v>
      </c>
      <c r="T80" s="3">
        <f>Evaluation!T86</f>
        <v>2</v>
      </c>
      <c r="U80" s="3">
        <f>Evaluation!U86</f>
        <v>3</v>
      </c>
    </row>
    <row r="81" spans="1:21">
      <c r="A81" s="3" t="s">
        <v>531</v>
      </c>
      <c r="B81" s="3">
        <f>Evaluation!B87</f>
        <v>1</v>
      </c>
      <c r="C81" s="3">
        <f>Evaluation!C87</f>
        <v>2</v>
      </c>
      <c r="D81" s="3">
        <f>Evaluation!D87</f>
        <v>2</v>
      </c>
      <c r="E81" s="3">
        <f>Evaluation!E87</f>
        <v>1</v>
      </c>
      <c r="F81" s="3">
        <f>Evaluation!F87</f>
        <v>1</v>
      </c>
      <c r="G81" s="3">
        <f>Evaluation!G87</f>
        <v>1</v>
      </c>
      <c r="H81" s="3">
        <f>Evaluation!H87</f>
        <v>1</v>
      </c>
      <c r="I81" s="3">
        <f>Evaluation!I87</f>
        <v>2</v>
      </c>
      <c r="J81" s="3">
        <f>Evaluation!J87</f>
        <v>1</v>
      </c>
      <c r="K81" s="3">
        <f>Evaluation!K87</f>
        <v>1</v>
      </c>
      <c r="L81" s="3">
        <f>Evaluation!L87</f>
        <v>1</v>
      </c>
      <c r="M81" s="3">
        <f>Evaluation!M87</f>
        <v>1</v>
      </c>
      <c r="N81" s="3">
        <f>Evaluation!N87</f>
        <v>1</v>
      </c>
      <c r="O81" s="3">
        <f>Evaluation!O87</f>
        <v>1</v>
      </c>
      <c r="P81" s="3">
        <f>Evaluation!P87</f>
        <v>2</v>
      </c>
      <c r="Q81" s="3">
        <f>Evaluation!Q87</f>
        <v>2</v>
      </c>
      <c r="R81" s="3">
        <f>Evaluation!R87</f>
        <v>1</v>
      </c>
      <c r="S81" s="3">
        <f>Evaluation!S87</f>
        <v>2</v>
      </c>
      <c r="T81" s="3">
        <f>Evaluation!T87</f>
        <v>1</v>
      </c>
      <c r="U81" s="3">
        <f>Evaluation!U87</f>
        <v>1</v>
      </c>
    </row>
    <row r="82" spans="1:21">
      <c r="A82" s="3" t="s">
        <v>532</v>
      </c>
      <c r="B82" s="3">
        <f>Evaluation!B88</f>
        <v>4</v>
      </c>
      <c r="C82" s="3">
        <f>Evaluation!C88</f>
        <v>4</v>
      </c>
      <c r="D82" s="3">
        <f>Evaluation!D88</f>
        <v>3</v>
      </c>
      <c r="E82" s="3">
        <f>Evaluation!E88</f>
        <v>2</v>
      </c>
      <c r="F82" s="3">
        <f>Evaluation!F88</f>
        <v>4</v>
      </c>
      <c r="G82" s="3">
        <f>Evaluation!G88</f>
        <v>3</v>
      </c>
      <c r="H82" s="3">
        <f>Evaluation!H88</f>
        <v>2</v>
      </c>
      <c r="I82" s="3">
        <f>Evaluation!I88</f>
        <v>2</v>
      </c>
      <c r="J82" s="3">
        <f>Evaluation!J88</f>
        <v>3</v>
      </c>
      <c r="K82" s="3">
        <f>Evaluation!K88</f>
        <v>4</v>
      </c>
      <c r="L82" s="3">
        <f>Evaluation!L88</f>
        <v>4</v>
      </c>
      <c r="M82" s="3">
        <f>Evaluation!M88</f>
        <v>4</v>
      </c>
      <c r="N82" s="3">
        <f>Evaluation!N88</f>
        <v>3</v>
      </c>
      <c r="O82" s="3">
        <f>Evaluation!O88</f>
        <v>3</v>
      </c>
      <c r="P82" s="3">
        <f>Evaluation!P88</f>
        <v>3</v>
      </c>
      <c r="Q82" s="3">
        <f>Evaluation!Q88</f>
        <v>4</v>
      </c>
      <c r="R82" s="3">
        <f>Evaluation!R88</f>
        <v>3</v>
      </c>
      <c r="S82" s="3">
        <f>Evaluation!S88</f>
        <v>1</v>
      </c>
      <c r="T82" s="3">
        <f>Evaluation!T88</f>
        <v>3</v>
      </c>
      <c r="U82" s="3">
        <f>Evaluation!U88</f>
        <v>3</v>
      </c>
    </row>
    <row r="83" spans="1:21">
      <c r="A83" s="3" t="s">
        <v>4</v>
      </c>
      <c r="B83" s="3">
        <f>Evaluation!B89</f>
        <v>3</v>
      </c>
      <c r="C83" s="3">
        <f>Evaluation!C89</f>
        <v>3</v>
      </c>
      <c r="D83" s="3">
        <f>Evaluation!D89</f>
        <v>2</v>
      </c>
      <c r="E83" s="3">
        <f>Evaluation!E89</f>
        <v>2</v>
      </c>
      <c r="F83" s="3">
        <f>Evaluation!F89</f>
        <v>3</v>
      </c>
      <c r="G83" s="3">
        <f>Evaluation!G89</f>
        <v>2</v>
      </c>
      <c r="H83" s="3">
        <f>Evaluation!H89</f>
        <v>1</v>
      </c>
      <c r="I83" s="3">
        <f>Evaluation!I89</f>
        <v>2</v>
      </c>
      <c r="J83" s="3">
        <f>Evaluation!J89</f>
        <v>2</v>
      </c>
      <c r="K83" s="3">
        <f>Evaluation!K89</f>
        <v>3</v>
      </c>
      <c r="L83" s="3">
        <f>Evaluation!L89</f>
        <v>3</v>
      </c>
      <c r="M83" s="3">
        <f>Evaluation!M89</f>
        <v>3</v>
      </c>
      <c r="N83" s="3">
        <f>Evaluation!N89</f>
        <v>2</v>
      </c>
      <c r="O83" s="3">
        <f>Evaluation!O89</f>
        <v>2</v>
      </c>
      <c r="P83" s="3">
        <f>Evaluation!P89</f>
        <v>2</v>
      </c>
      <c r="Q83" s="3">
        <f>Evaluation!Q89</f>
        <v>3</v>
      </c>
      <c r="R83" s="3">
        <f>Evaluation!R89</f>
        <v>2</v>
      </c>
      <c r="S83" s="3">
        <f>Evaluation!S89</f>
        <v>1</v>
      </c>
      <c r="T83" s="3">
        <f>Evaluation!T89</f>
        <v>2</v>
      </c>
      <c r="U83" s="3">
        <f>Evaluation!U89</f>
        <v>2</v>
      </c>
    </row>
    <row r="84" spans="1:21">
      <c r="A84" s="3" t="s">
        <v>533</v>
      </c>
      <c r="B84" s="3">
        <f>Evaluation!B90</f>
        <v>2</v>
      </c>
      <c r="C84" s="3">
        <f>Evaluation!C90</f>
        <v>3</v>
      </c>
      <c r="D84" s="3">
        <f>Evaluation!D90</f>
        <v>3</v>
      </c>
      <c r="E84" s="3">
        <f>Evaluation!E90</f>
        <v>2</v>
      </c>
      <c r="F84" s="3">
        <f>Evaluation!F90</f>
        <v>2</v>
      </c>
      <c r="G84" s="3">
        <f>Evaluation!G90</f>
        <v>2</v>
      </c>
      <c r="H84" s="3">
        <f>Evaluation!H90</f>
        <v>3</v>
      </c>
      <c r="I84" s="3">
        <f>Evaluation!I90</f>
        <v>2</v>
      </c>
      <c r="J84" s="3">
        <f>Evaluation!J90</f>
        <v>2</v>
      </c>
      <c r="K84" s="3">
        <f>Evaluation!K90</f>
        <v>3</v>
      </c>
      <c r="L84" s="3">
        <f>Evaluation!L90</f>
        <v>2</v>
      </c>
      <c r="M84" s="3">
        <f>Evaluation!M90</f>
        <v>3</v>
      </c>
      <c r="N84" s="3">
        <f>Evaluation!N90</f>
        <v>2</v>
      </c>
      <c r="O84" s="3">
        <f>Evaluation!O90</f>
        <v>2</v>
      </c>
      <c r="P84" s="3">
        <f>Evaluation!P90</f>
        <v>3</v>
      </c>
      <c r="Q84" s="3">
        <f>Evaluation!Q90</f>
        <v>2</v>
      </c>
      <c r="R84" s="3">
        <f>Evaluation!R90</f>
        <v>2</v>
      </c>
      <c r="S84" s="3">
        <f>Evaluation!S90</f>
        <v>1</v>
      </c>
      <c r="T84" s="3">
        <f>Evaluation!T90</f>
        <v>2</v>
      </c>
      <c r="U84" s="3">
        <f>Evaluation!U90</f>
        <v>3</v>
      </c>
    </row>
    <row r="85" spans="1:21">
      <c r="A85" s="3" t="s">
        <v>534</v>
      </c>
      <c r="B85" s="3">
        <f>Evaluation!B91</f>
        <v>3</v>
      </c>
      <c r="C85" s="3">
        <f>Evaluation!C91</f>
        <v>3</v>
      </c>
      <c r="D85" s="3">
        <f>Evaluation!D91</f>
        <v>2</v>
      </c>
      <c r="E85" s="3">
        <f>Evaluation!E91</f>
        <v>1</v>
      </c>
      <c r="F85" s="3">
        <f>Evaluation!F91</f>
        <v>3</v>
      </c>
      <c r="G85" s="3">
        <f>Evaluation!G91</f>
        <v>2</v>
      </c>
      <c r="H85" s="3">
        <f>Evaluation!H91</f>
        <v>1</v>
      </c>
      <c r="I85" s="3">
        <f>Evaluation!I91</f>
        <v>1</v>
      </c>
      <c r="J85" s="3">
        <f>Evaluation!J91</f>
        <v>2</v>
      </c>
      <c r="K85" s="3">
        <f>Evaluation!K91</f>
        <v>3</v>
      </c>
      <c r="L85" s="3">
        <f>Evaluation!L91</f>
        <v>3</v>
      </c>
      <c r="M85" s="3">
        <f>Evaluation!M91</f>
        <v>3</v>
      </c>
      <c r="N85" s="3">
        <f>Evaluation!N91</f>
        <v>3</v>
      </c>
      <c r="O85" s="3">
        <f>Evaluation!O91</f>
        <v>3</v>
      </c>
      <c r="P85" s="3">
        <f>Evaluation!P91</f>
        <v>2</v>
      </c>
      <c r="Q85" s="3">
        <f>Evaluation!Q91</f>
        <v>3</v>
      </c>
      <c r="R85" s="3">
        <f>Evaluation!R91</f>
        <v>2</v>
      </c>
      <c r="S85" s="3">
        <f>Evaluation!S91</f>
        <v>1</v>
      </c>
      <c r="T85" s="3">
        <f>Evaluation!T91</f>
        <v>2</v>
      </c>
      <c r="U85" s="3">
        <f>Evaluation!U91</f>
        <v>2</v>
      </c>
    </row>
    <row r="86" spans="1:21">
      <c r="A86" s="3" t="s">
        <v>535</v>
      </c>
      <c r="B86" s="3">
        <f>Evaluation!B92</f>
        <v>2</v>
      </c>
      <c r="C86" s="3">
        <f>Evaluation!C92</f>
        <v>2</v>
      </c>
      <c r="D86" s="3">
        <f>Evaluation!D92</f>
        <v>2</v>
      </c>
      <c r="E86" s="3">
        <f>Evaluation!E92</f>
        <v>1</v>
      </c>
      <c r="F86" s="3">
        <f>Evaluation!F92</f>
        <v>2</v>
      </c>
      <c r="G86" s="3">
        <f>Evaluation!G92</f>
        <v>2</v>
      </c>
      <c r="H86" s="3">
        <f>Evaluation!H92</f>
        <v>2</v>
      </c>
      <c r="I86" s="3">
        <f>Evaluation!I92</f>
        <v>3</v>
      </c>
      <c r="J86" s="3">
        <f>Evaluation!J92</f>
        <v>2</v>
      </c>
      <c r="K86" s="3">
        <f>Evaluation!K92</f>
        <v>3</v>
      </c>
      <c r="L86" s="3">
        <f>Evaluation!L92</f>
        <v>4</v>
      </c>
      <c r="M86" s="3">
        <f>Evaluation!M92</f>
        <v>4</v>
      </c>
      <c r="N86" s="3">
        <f>Evaluation!N92</f>
        <v>2</v>
      </c>
      <c r="O86" s="3">
        <f>Evaluation!O92</f>
        <v>3</v>
      </c>
      <c r="P86" s="3">
        <f>Evaluation!P92</f>
        <v>3</v>
      </c>
      <c r="Q86" s="3">
        <f>Evaluation!Q92</f>
        <v>4</v>
      </c>
      <c r="R86" s="3">
        <f>Evaluation!R92</f>
        <v>2</v>
      </c>
      <c r="S86" s="3">
        <f>Evaluation!S92</f>
        <v>1</v>
      </c>
      <c r="T86" s="3">
        <f>Evaluation!T92</f>
        <v>1</v>
      </c>
      <c r="U86" s="3">
        <f>Evaluation!U92</f>
        <v>3</v>
      </c>
    </row>
    <row r="87" spans="1:21">
      <c r="A87" s="3" t="s">
        <v>536</v>
      </c>
      <c r="B87" s="3">
        <f>Evaluation!B93</f>
        <v>1</v>
      </c>
      <c r="C87" s="3">
        <f>Evaluation!C93</f>
        <v>1</v>
      </c>
      <c r="D87" s="3">
        <f>Evaluation!D93</f>
        <v>1</v>
      </c>
      <c r="E87" s="3">
        <f>Evaluation!E93</f>
        <v>1</v>
      </c>
      <c r="F87" s="3">
        <f>Evaluation!F93</f>
        <v>2</v>
      </c>
      <c r="G87" s="3">
        <f>Evaluation!G93</f>
        <v>2</v>
      </c>
      <c r="H87" s="3">
        <f>Evaluation!H93</f>
        <v>1</v>
      </c>
      <c r="I87" s="3">
        <f>Evaluation!I93</f>
        <v>2</v>
      </c>
      <c r="J87" s="3">
        <f>Evaluation!J93</f>
        <v>2</v>
      </c>
      <c r="K87" s="3">
        <f>Evaluation!K93</f>
        <v>2</v>
      </c>
      <c r="L87" s="3">
        <f>Evaluation!L93</f>
        <v>3</v>
      </c>
      <c r="M87" s="3">
        <f>Evaluation!M93</f>
        <v>3</v>
      </c>
      <c r="N87" s="3">
        <f>Evaluation!N93</f>
        <v>2</v>
      </c>
      <c r="O87" s="3">
        <f>Evaluation!O93</f>
        <v>3</v>
      </c>
      <c r="P87" s="3">
        <f>Evaluation!P93</f>
        <v>2</v>
      </c>
      <c r="Q87" s="3">
        <f>Evaluation!Q93</f>
        <v>3</v>
      </c>
      <c r="R87" s="3">
        <f>Evaluation!R93</f>
        <v>2</v>
      </c>
      <c r="S87" s="3">
        <f>Evaluation!S93</f>
        <v>1</v>
      </c>
      <c r="T87" s="3">
        <f>Evaluation!T93</f>
        <v>1</v>
      </c>
      <c r="U87" s="3">
        <f>Evaluation!U93</f>
        <v>2</v>
      </c>
    </row>
    <row r="88" spans="1:21">
      <c r="A88" s="3" t="s">
        <v>537</v>
      </c>
      <c r="B88" s="3">
        <f>Evaluation!B94</f>
        <v>2</v>
      </c>
      <c r="C88" s="3">
        <f>Evaluation!C94</f>
        <v>2</v>
      </c>
      <c r="D88" s="3">
        <f>Evaluation!D94</f>
        <v>2</v>
      </c>
      <c r="E88" s="3">
        <f>Evaluation!E94</f>
        <v>1</v>
      </c>
      <c r="F88" s="3">
        <f>Evaluation!F94</f>
        <v>1</v>
      </c>
      <c r="G88" s="3">
        <f>Evaluation!G94</f>
        <v>1</v>
      </c>
      <c r="H88" s="3">
        <f>Evaluation!H94</f>
        <v>1</v>
      </c>
      <c r="I88" s="3">
        <f>Evaluation!I94</f>
        <v>2</v>
      </c>
      <c r="J88" s="3">
        <f>Evaluation!J94</f>
        <v>1</v>
      </c>
      <c r="K88" s="3">
        <f>Evaluation!K94</f>
        <v>2</v>
      </c>
      <c r="L88" s="3">
        <f>Evaluation!L94</f>
        <v>2</v>
      </c>
      <c r="M88" s="3">
        <f>Evaluation!M94</f>
        <v>2</v>
      </c>
      <c r="N88" s="3">
        <f>Evaluation!N94</f>
        <v>1</v>
      </c>
      <c r="O88" s="3">
        <f>Evaluation!O94</f>
        <v>1</v>
      </c>
      <c r="P88" s="3">
        <f>Evaluation!P94</f>
        <v>2</v>
      </c>
      <c r="Q88" s="3">
        <f>Evaluation!Q94</f>
        <v>2</v>
      </c>
      <c r="R88" s="3">
        <f>Evaluation!R94</f>
        <v>1</v>
      </c>
      <c r="S88" s="3">
        <f>Evaluation!S94</f>
        <v>1</v>
      </c>
      <c r="T88" s="3">
        <f>Evaluation!T94</f>
        <v>1</v>
      </c>
      <c r="U88" s="3">
        <f>Evaluation!U94</f>
        <v>1</v>
      </c>
    </row>
    <row r="89" spans="1:21">
      <c r="A89" s="3" t="s">
        <v>533</v>
      </c>
      <c r="B89" s="3">
        <f>Evaluation!B95</f>
        <v>2</v>
      </c>
      <c r="C89" s="3">
        <f>Evaluation!C95</f>
        <v>3</v>
      </c>
      <c r="D89" s="3">
        <f>Evaluation!D95</f>
        <v>3</v>
      </c>
      <c r="E89" s="3">
        <f>Evaluation!E95</f>
        <v>2</v>
      </c>
      <c r="F89" s="3">
        <f>Evaluation!F95</f>
        <v>2</v>
      </c>
      <c r="G89" s="3">
        <f>Evaluation!G95</f>
        <v>2</v>
      </c>
      <c r="H89" s="3">
        <f>Evaluation!H95</f>
        <v>3</v>
      </c>
      <c r="I89" s="3">
        <f>Evaluation!I95</f>
        <v>2</v>
      </c>
      <c r="J89" s="3">
        <f>Evaluation!J95</f>
        <v>2</v>
      </c>
      <c r="K89" s="3">
        <f>Evaluation!K95</f>
        <v>3</v>
      </c>
      <c r="L89" s="3">
        <f>Evaluation!L95</f>
        <v>2</v>
      </c>
      <c r="M89" s="3">
        <f>Evaluation!M95</f>
        <v>3</v>
      </c>
      <c r="N89" s="3">
        <f>Evaluation!N95</f>
        <v>2</v>
      </c>
      <c r="O89" s="3">
        <f>Evaluation!O95</f>
        <v>2</v>
      </c>
      <c r="P89" s="3">
        <f>Evaluation!P95</f>
        <v>3</v>
      </c>
      <c r="Q89" s="3">
        <f>Evaluation!Q95</f>
        <v>2</v>
      </c>
      <c r="R89" s="3">
        <f>Evaluation!R95</f>
        <v>2</v>
      </c>
      <c r="S89" s="3">
        <f>Evaluation!S95</f>
        <v>1</v>
      </c>
      <c r="T89" s="3">
        <f>Evaluation!T95</f>
        <v>2</v>
      </c>
      <c r="U89" s="3">
        <f>Evaluation!U95</f>
        <v>3</v>
      </c>
    </row>
    <row r="90" spans="1:21">
      <c r="A90" s="3" t="s">
        <v>580</v>
      </c>
      <c r="B90" s="3" t="e">
        <f>Evaluation!B96</f>
        <v>#N/A</v>
      </c>
      <c r="C90" s="3" t="e">
        <f>Evaluation!C96</f>
        <v>#N/A</v>
      </c>
      <c r="D90" s="3" t="e">
        <f>Evaluation!D96</f>
        <v>#N/A</v>
      </c>
      <c r="E90" s="3" t="e">
        <f>Evaluation!E96</f>
        <v>#N/A</v>
      </c>
      <c r="F90" s="3" t="e">
        <f>Evaluation!F96</f>
        <v>#N/A</v>
      </c>
      <c r="G90" s="3" t="e">
        <f>Evaluation!G96</f>
        <v>#N/A</v>
      </c>
      <c r="H90" s="3" t="e">
        <f>Evaluation!H96</f>
        <v>#N/A</v>
      </c>
      <c r="I90" s="3" t="e">
        <f>Evaluation!I96</f>
        <v>#N/A</v>
      </c>
      <c r="J90" s="3" t="e">
        <f>Evaluation!J96</f>
        <v>#N/A</v>
      </c>
      <c r="K90" s="3" t="e">
        <f>Evaluation!K96</f>
        <v>#N/A</v>
      </c>
      <c r="L90" s="3" t="e">
        <f>Evaluation!L96</f>
        <v>#N/A</v>
      </c>
      <c r="M90" s="3" t="e">
        <f>Evaluation!M96</f>
        <v>#N/A</v>
      </c>
      <c r="N90" s="3" t="e">
        <f>Evaluation!N96</f>
        <v>#N/A</v>
      </c>
      <c r="O90" s="3" t="e">
        <f>Evaluation!O96</f>
        <v>#N/A</v>
      </c>
      <c r="P90" s="3" t="e">
        <f>Evaluation!P96</f>
        <v>#N/A</v>
      </c>
      <c r="Q90" s="3" t="e">
        <f>Evaluation!Q96</f>
        <v>#N/A</v>
      </c>
      <c r="R90" s="3" t="e">
        <f>Evaluation!R96</f>
        <v>#N/A</v>
      </c>
      <c r="S90" s="3" t="e">
        <f>Evaluation!S96</f>
        <v>#N/A</v>
      </c>
      <c r="T90" s="3" t="e">
        <f>Evaluation!T96</f>
        <v>#N/A</v>
      </c>
      <c r="U90" s="3" t="e">
        <f>Evaluation!U96</f>
        <v>#N/A</v>
      </c>
    </row>
    <row r="91" spans="1:21">
      <c r="A91" s="3" t="s">
        <v>582</v>
      </c>
      <c r="B91" s="3" t="e">
        <f>Evaluation!B97</f>
        <v>#N/A</v>
      </c>
      <c r="C91" s="3" t="e">
        <f>Evaluation!C97</f>
        <v>#N/A</v>
      </c>
      <c r="D91" s="3" t="e">
        <f>Evaluation!D97</f>
        <v>#N/A</v>
      </c>
      <c r="E91" s="3" t="e">
        <f>Evaluation!E97</f>
        <v>#N/A</v>
      </c>
      <c r="F91" s="3" t="e">
        <f>Evaluation!F97</f>
        <v>#N/A</v>
      </c>
      <c r="G91" s="3" t="e">
        <f>Evaluation!G97</f>
        <v>#N/A</v>
      </c>
      <c r="H91" s="3" t="e">
        <f>Evaluation!H97</f>
        <v>#N/A</v>
      </c>
      <c r="I91" s="3" t="e">
        <f>Evaluation!I97</f>
        <v>#N/A</v>
      </c>
      <c r="J91" s="3" t="e">
        <f>Evaluation!J97</f>
        <v>#N/A</v>
      </c>
      <c r="K91" s="3" t="e">
        <f>Evaluation!K97</f>
        <v>#N/A</v>
      </c>
      <c r="L91" s="3" t="e">
        <f>Evaluation!L97</f>
        <v>#N/A</v>
      </c>
      <c r="M91" s="3" t="e">
        <f>Evaluation!M97</f>
        <v>#N/A</v>
      </c>
      <c r="N91" s="3" t="e">
        <f>Evaluation!N97</f>
        <v>#N/A</v>
      </c>
      <c r="O91" s="3" t="e">
        <f>Evaluation!O97</f>
        <v>#N/A</v>
      </c>
      <c r="P91" s="3" t="e">
        <f>Evaluation!P97</f>
        <v>#N/A</v>
      </c>
      <c r="Q91" s="3" t="e">
        <f>Evaluation!Q97</f>
        <v>#N/A</v>
      </c>
      <c r="R91" s="3" t="e">
        <f>Evaluation!R97</f>
        <v>#N/A</v>
      </c>
      <c r="S91" s="3" t="e">
        <f>Evaluation!S97</f>
        <v>#N/A</v>
      </c>
      <c r="T91" s="3" t="e">
        <f>Evaluation!T97</f>
        <v>#N/A</v>
      </c>
      <c r="U91" s="3" t="e">
        <f>Evaluation!U97</f>
        <v>#N/A</v>
      </c>
    </row>
    <row r="92" spans="1:21">
      <c r="A92" s="3" t="s">
        <v>465</v>
      </c>
      <c r="B92" s="3" t="e">
        <f>Evaluation!B98</f>
        <v>#N/A</v>
      </c>
      <c r="C92" s="3" t="e">
        <f>Evaluation!C98</f>
        <v>#N/A</v>
      </c>
      <c r="D92" s="3" t="e">
        <f>Evaluation!D98</f>
        <v>#N/A</v>
      </c>
      <c r="E92" s="3" t="e">
        <f>Evaluation!E98</f>
        <v>#N/A</v>
      </c>
      <c r="F92" s="3" t="e">
        <f>Evaluation!F98</f>
        <v>#N/A</v>
      </c>
      <c r="G92" s="3" t="e">
        <f>Evaluation!G98</f>
        <v>#N/A</v>
      </c>
      <c r="H92" s="3" t="e">
        <f>Evaluation!H98</f>
        <v>#N/A</v>
      </c>
      <c r="I92" s="3" t="e">
        <f>Evaluation!I98</f>
        <v>#N/A</v>
      </c>
      <c r="J92" s="3" t="e">
        <f>Evaluation!J98</f>
        <v>#N/A</v>
      </c>
      <c r="K92" s="3" t="e">
        <f>Evaluation!K98</f>
        <v>#N/A</v>
      </c>
      <c r="L92" s="3" t="e">
        <f>Evaluation!L98</f>
        <v>#N/A</v>
      </c>
      <c r="M92" s="3" t="e">
        <f>Evaluation!M98</f>
        <v>#N/A</v>
      </c>
      <c r="N92" s="3" t="e">
        <f>Evaluation!N98</f>
        <v>#N/A</v>
      </c>
      <c r="O92" s="3" t="e">
        <f>Evaluation!O98</f>
        <v>#N/A</v>
      </c>
      <c r="P92" s="3" t="e">
        <f>Evaluation!P98</f>
        <v>#N/A</v>
      </c>
      <c r="Q92" s="3" t="e">
        <f>Evaluation!Q98</f>
        <v>#N/A</v>
      </c>
      <c r="R92" s="3" t="e">
        <f>Evaluation!R98</f>
        <v>#N/A</v>
      </c>
      <c r="S92" s="3" t="e">
        <f>Evaluation!S98</f>
        <v>#N/A</v>
      </c>
      <c r="T92" s="3" t="e">
        <f>Evaluation!T98</f>
        <v>#N/A</v>
      </c>
      <c r="U92" s="3" t="e">
        <f>Evaluation!U98</f>
        <v>#N/A</v>
      </c>
    </row>
    <row r="93" spans="1:21">
      <c r="A93" s="3" t="s">
        <v>583</v>
      </c>
      <c r="B93" s="3" t="e">
        <f>Evaluation!B99</f>
        <v>#N/A</v>
      </c>
      <c r="C93" s="3" t="e">
        <f>Evaluation!C99</f>
        <v>#N/A</v>
      </c>
      <c r="D93" s="3" t="e">
        <f>Evaluation!D99</f>
        <v>#N/A</v>
      </c>
      <c r="E93" s="3" t="e">
        <f>Evaluation!E99</f>
        <v>#N/A</v>
      </c>
      <c r="F93" s="3" t="e">
        <f>Evaluation!F99</f>
        <v>#N/A</v>
      </c>
      <c r="G93" s="3" t="e">
        <f>Evaluation!G99</f>
        <v>#N/A</v>
      </c>
      <c r="H93" s="3" t="e">
        <f>Evaluation!H99</f>
        <v>#N/A</v>
      </c>
      <c r="I93" s="3" t="e">
        <f>Evaluation!I99</f>
        <v>#N/A</v>
      </c>
      <c r="J93" s="3" t="e">
        <f>Evaluation!J99</f>
        <v>#N/A</v>
      </c>
      <c r="K93" s="3" t="e">
        <f>Evaluation!K99</f>
        <v>#N/A</v>
      </c>
      <c r="L93" s="3" t="e">
        <f>Evaluation!L99</f>
        <v>#N/A</v>
      </c>
      <c r="M93" s="3" t="e">
        <f>Evaluation!M99</f>
        <v>#N/A</v>
      </c>
      <c r="N93" s="3" t="e">
        <f>Evaluation!N99</f>
        <v>#N/A</v>
      </c>
      <c r="O93" s="3" t="e">
        <f>Evaluation!O99</f>
        <v>#N/A</v>
      </c>
      <c r="P93" s="3" t="e">
        <f>Evaluation!P99</f>
        <v>#N/A</v>
      </c>
      <c r="Q93" s="3" t="e">
        <f>Evaluation!Q99</f>
        <v>#N/A</v>
      </c>
      <c r="R93" s="3" t="e">
        <f>Evaluation!R99</f>
        <v>#N/A</v>
      </c>
      <c r="S93" s="3" t="e">
        <f>Evaluation!S99</f>
        <v>#N/A</v>
      </c>
      <c r="T93" s="3" t="e">
        <f>Evaluation!T99</f>
        <v>#N/A</v>
      </c>
      <c r="U93" s="3" t="e">
        <f>Evaluation!U99</f>
        <v>#N/A</v>
      </c>
    </row>
    <row r="94" spans="1:21">
      <c r="A94" s="3" t="s">
        <v>584</v>
      </c>
      <c r="B94" s="3" t="e">
        <f>Evaluation!B100</f>
        <v>#N/A</v>
      </c>
      <c r="C94" s="3" t="e">
        <f>Evaluation!C100</f>
        <v>#N/A</v>
      </c>
      <c r="D94" s="3" t="e">
        <f>Evaluation!D100</f>
        <v>#N/A</v>
      </c>
      <c r="E94" s="3" t="e">
        <f>Evaluation!E100</f>
        <v>#N/A</v>
      </c>
      <c r="F94" s="3" t="e">
        <f>Evaluation!F100</f>
        <v>#N/A</v>
      </c>
      <c r="G94" s="3" t="e">
        <f>Evaluation!G100</f>
        <v>#N/A</v>
      </c>
      <c r="H94" s="3" t="e">
        <f>Evaluation!H100</f>
        <v>#N/A</v>
      </c>
      <c r="I94" s="3" t="e">
        <f>Evaluation!I100</f>
        <v>#N/A</v>
      </c>
      <c r="J94" s="3" t="e">
        <f>Evaluation!J100</f>
        <v>#N/A</v>
      </c>
      <c r="K94" s="3" t="e">
        <f>Evaluation!K100</f>
        <v>#N/A</v>
      </c>
      <c r="L94" s="3" t="e">
        <f>Evaluation!L100</f>
        <v>#N/A</v>
      </c>
      <c r="M94" s="3" t="e">
        <f>Evaluation!M100</f>
        <v>#N/A</v>
      </c>
      <c r="N94" s="3" t="e">
        <f>Evaluation!N100</f>
        <v>#N/A</v>
      </c>
      <c r="O94" s="3" t="e">
        <f>Evaluation!O100</f>
        <v>#N/A</v>
      </c>
      <c r="P94" s="3" t="e">
        <f>Evaluation!P100</f>
        <v>#N/A</v>
      </c>
      <c r="Q94" s="3" t="e">
        <f>Evaluation!Q100</f>
        <v>#N/A</v>
      </c>
      <c r="R94" s="3" t="e">
        <f>Evaluation!R100</f>
        <v>#N/A</v>
      </c>
      <c r="S94" s="3" t="e">
        <f>Evaluation!S100</f>
        <v>#N/A</v>
      </c>
      <c r="T94" s="3" t="e">
        <f>Evaluation!T100</f>
        <v>#N/A</v>
      </c>
      <c r="U94" s="3" t="e">
        <f>Evaluation!U100</f>
        <v>#N/A</v>
      </c>
    </row>
    <row r="95" spans="1:21">
      <c r="A95" s="3" t="s">
        <v>585</v>
      </c>
      <c r="B95" s="3" t="e">
        <f>Evaluation!B101</f>
        <v>#N/A</v>
      </c>
      <c r="C95" s="3" t="e">
        <f>Evaluation!C101</f>
        <v>#N/A</v>
      </c>
      <c r="D95" s="3" t="e">
        <f>Evaluation!D101</f>
        <v>#N/A</v>
      </c>
      <c r="E95" s="3" t="e">
        <f>Evaluation!E101</f>
        <v>#N/A</v>
      </c>
      <c r="F95" s="3" t="e">
        <f>Evaluation!F101</f>
        <v>#N/A</v>
      </c>
      <c r="G95" s="3" t="e">
        <f>Evaluation!G101</f>
        <v>#N/A</v>
      </c>
      <c r="H95" s="3" t="e">
        <f>Evaluation!H101</f>
        <v>#N/A</v>
      </c>
      <c r="I95" s="3" t="e">
        <f>Evaluation!I101</f>
        <v>#N/A</v>
      </c>
      <c r="J95" s="3" t="e">
        <f>Evaluation!J101</f>
        <v>#N/A</v>
      </c>
      <c r="K95" s="3" t="e">
        <f>Evaluation!K101</f>
        <v>#N/A</v>
      </c>
      <c r="L95" s="3" t="e">
        <f>Evaluation!L101</f>
        <v>#N/A</v>
      </c>
      <c r="M95" s="3" t="e">
        <f>Evaluation!M101</f>
        <v>#N/A</v>
      </c>
      <c r="N95" s="3" t="e">
        <f>Evaluation!N101</f>
        <v>#N/A</v>
      </c>
      <c r="O95" s="3" t="e">
        <f>Evaluation!O101</f>
        <v>#N/A</v>
      </c>
      <c r="P95" s="3" t="e">
        <f>Evaluation!P101</f>
        <v>#N/A</v>
      </c>
      <c r="Q95" s="3" t="e">
        <f>Evaluation!Q101</f>
        <v>#N/A</v>
      </c>
      <c r="R95" s="3" t="e">
        <f>Evaluation!R101</f>
        <v>#N/A</v>
      </c>
      <c r="S95" s="3" t="e">
        <f>Evaluation!S101</f>
        <v>#N/A</v>
      </c>
      <c r="T95" s="3" t="e">
        <f>Evaluation!T101</f>
        <v>#N/A</v>
      </c>
      <c r="U95" s="3" t="e">
        <f>Evaluation!U101</f>
        <v>#N/A</v>
      </c>
    </row>
    <row r="96" spans="1:21">
      <c r="A96" s="3" t="s">
        <v>550</v>
      </c>
      <c r="B96" s="3">
        <f>Evaluation!B102</f>
        <v>2</v>
      </c>
      <c r="C96" s="3">
        <f>Evaluation!C102</f>
        <v>3</v>
      </c>
      <c r="D96" s="3">
        <f>Evaluation!D102</f>
        <v>2</v>
      </c>
      <c r="E96" s="3">
        <f>Evaluation!E102</f>
        <v>3</v>
      </c>
      <c r="F96" s="3">
        <f>Evaluation!F102</f>
        <v>2</v>
      </c>
      <c r="G96" s="3">
        <f>Evaluation!G102</f>
        <v>3</v>
      </c>
      <c r="H96" s="3">
        <f>Evaluation!H102</f>
        <v>3</v>
      </c>
      <c r="I96" s="3">
        <f>Evaluation!I102</f>
        <v>4</v>
      </c>
      <c r="J96" s="3">
        <f>Evaluation!J102</f>
        <v>1</v>
      </c>
      <c r="K96" s="3">
        <f>Evaluation!K102</f>
        <v>2</v>
      </c>
      <c r="L96" s="3">
        <f>Evaluation!L102</f>
        <v>4</v>
      </c>
      <c r="M96" s="3">
        <f>Evaluation!M102</f>
        <v>3</v>
      </c>
      <c r="N96" s="3">
        <f>Evaluation!N102</f>
        <v>3</v>
      </c>
      <c r="O96" s="3">
        <f>Evaluation!O102</f>
        <v>4</v>
      </c>
      <c r="P96" s="3">
        <f>Evaluation!P102</f>
        <v>4</v>
      </c>
      <c r="Q96" s="3">
        <f>Evaluation!Q102</f>
        <v>4</v>
      </c>
      <c r="R96" s="3">
        <f>Evaluation!R102</f>
        <v>3</v>
      </c>
      <c r="S96" s="3">
        <f>Evaluation!S102</f>
        <v>1</v>
      </c>
      <c r="T96" s="3">
        <f>Evaluation!T102</f>
        <v>2</v>
      </c>
      <c r="U96" s="3">
        <f>Evaluation!U102</f>
        <v>3</v>
      </c>
    </row>
    <row r="97" spans="1:21">
      <c r="A97" s="3" t="s">
        <v>586</v>
      </c>
      <c r="B97" s="3" t="e">
        <f>Evaluation!B103</f>
        <v>#N/A</v>
      </c>
      <c r="C97" s="3" t="e">
        <f>Evaluation!C103</f>
        <v>#N/A</v>
      </c>
      <c r="D97" s="3" t="e">
        <f>Evaluation!D103</f>
        <v>#N/A</v>
      </c>
      <c r="E97" s="3" t="e">
        <f>Evaluation!E103</f>
        <v>#N/A</v>
      </c>
      <c r="F97" s="3" t="e">
        <f>Evaluation!F103</f>
        <v>#N/A</v>
      </c>
      <c r="G97" s="3" t="e">
        <f>Evaluation!G103</f>
        <v>#N/A</v>
      </c>
      <c r="H97" s="3" t="e">
        <f>Evaluation!H103</f>
        <v>#N/A</v>
      </c>
      <c r="I97" s="3" t="e">
        <f>Evaluation!I103</f>
        <v>#N/A</v>
      </c>
      <c r="J97" s="3" t="e">
        <f>Evaluation!J103</f>
        <v>#N/A</v>
      </c>
      <c r="K97" s="3" t="e">
        <f>Evaluation!K103</f>
        <v>#N/A</v>
      </c>
      <c r="L97" s="3" t="e">
        <f>Evaluation!L103</f>
        <v>#N/A</v>
      </c>
      <c r="M97" s="3" t="e">
        <f>Evaluation!M103</f>
        <v>#N/A</v>
      </c>
      <c r="N97" s="3" t="e">
        <f>Evaluation!N103</f>
        <v>#N/A</v>
      </c>
      <c r="O97" s="3" t="e">
        <f>Evaluation!O103</f>
        <v>#N/A</v>
      </c>
      <c r="P97" s="3" t="e">
        <f>Evaluation!P103</f>
        <v>#N/A</v>
      </c>
      <c r="Q97" s="3" t="e">
        <f>Evaluation!Q103</f>
        <v>#N/A</v>
      </c>
      <c r="R97" s="3" t="e">
        <f>Evaluation!R103</f>
        <v>#N/A</v>
      </c>
      <c r="S97" s="3" t="e">
        <f>Evaluation!S103</f>
        <v>#N/A</v>
      </c>
      <c r="T97" s="3" t="e">
        <f>Evaluation!T103</f>
        <v>#N/A</v>
      </c>
      <c r="U97" s="3" t="e">
        <f>Evaluation!U103</f>
        <v>#N/A</v>
      </c>
    </row>
    <row r="98" spans="1:21">
      <c r="A98" s="3" t="s">
        <v>587</v>
      </c>
      <c r="B98" s="3" t="e">
        <f>Evaluation!B104</f>
        <v>#N/A</v>
      </c>
      <c r="C98" s="3" t="e">
        <f>Evaluation!C104</f>
        <v>#N/A</v>
      </c>
      <c r="D98" s="3" t="e">
        <f>Evaluation!D104</f>
        <v>#N/A</v>
      </c>
      <c r="E98" s="3" t="e">
        <f>Evaluation!E104</f>
        <v>#N/A</v>
      </c>
      <c r="F98" s="3" t="e">
        <f>Evaluation!F104</f>
        <v>#N/A</v>
      </c>
      <c r="G98" s="3" t="e">
        <f>Evaluation!G104</f>
        <v>#N/A</v>
      </c>
      <c r="H98" s="3" t="e">
        <f>Evaluation!H104</f>
        <v>#N/A</v>
      </c>
      <c r="I98" s="3" t="e">
        <f>Evaluation!I104</f>
        <v>#N/A</v>
      </c>
      <c r="J98" s="3" t="e">
        <f>Evaluation!J104</f>
        <v>#N/A</v>
      </c>
      <c r="K98" s="3" t="e">
        <f>Evaluation!K104</f>
        <v>#N/A</v>
      </c>
      <c r="L98" s="3" t="e">
        <f>Evaluation!L104</f>
        <v>#N/A</v>
      </c>
      <c r="M98" s="3" t="e">
        <f>Evaluation!M104</f>
        <v>#N/A</v>
      </c>
      <c r="N98" s="3" t="e">
        <f>Evaluation!N104</f>
        <v>#N/A</v>
      </c>
      <c r="O98" s="3" t="e">
        <f>Evaluation!O104</f>
        <v>#N/A</v>
      </c>
      <c r="P98" s="3" t="e">
        <f>Evaluation!P104</f>
        <v>#N/A</v>
      </c>
      <c r="Q98" s="3" t="e">
        <f>Evaluation!Q104</f>
        <v>#N/A</v>
      </c>
      <c r="R98" s="3" t="e">
        <f>Evaluation!R104</f>
        <v>#N/A</v>
      </c>
      <c r="S98" s="3" t="e">
        <f>Evaluation!S104</f>
        <v>#N/A</v>
      </c>
      <c r="T98" s="3" t="e">
        <f>Evaluation!T104</f>
        <v>#N/A</v>
      </c>
      <c r="U98" s="3" t="e">
        <f>Evaluation!U104</f>
        <v>#N/A</v>
      </c>
    </row>
    <row r="99" spans="1:21">
      <c r="A99" s="3" t="s">
        <v>530</v>
      </c>
      <c r="B99" s="3">
        <f>Evaluation!B105</f>
        <v>2</v>
      </c>
      <c r="C99" s="3">
        <f>Evaluation!C105</f>
        <v>3</v>
      </c>
      <c r="D99" s="3">
        <f>Evaluation!D105</f>
        <v>3</v>
      </c>
      <c r="E99" s="3">
        <f>Evaluation!E105</f>
        <v>1</v>
      </c>
      <c r="F99" s="3">
        <f>Evaluation!F105</f>
        <v>2</v>
      </c>
      <c r="G99" s="3">
        <f>Evaluation!G105</f>
        <v>2</v>
      </c>
      <c r="H99" s="3">
        <f>Evaluation!H105</f>
        <v>1</v>
      </c>
      <c r="I99" s="3">
        <f>Evaluation!I105</f>
        <v>3</v>
      </c>
      <c r="J99" s="3">
        <f>Evaluation!J105</f>
        <v>2</v>
      </c>
      <c r="K99" s="3">
        <f>Evaluation!K105</f>
        <v>3</v>
      </c>
      <c r="L99" s="3">
        <f>Evaluation!L105</f>
        <v>4</v>
      </c>
      <c r="M99" s="3">
        <f>Evaluation!M105</f>
        <v>4</v>
      </c>
      <c r="N99" s="3">
        <f>Evaluation!N105</f>
        <v>2</v>
      </c>
      <c r="O99" s="3">
        <f>Evaluation!O105</f>
        <v>3</v>
      </c>
      <c r="P99" s="3">
        <f>Evaluation!P105</f>
        <v>4</v>
      </c>
      <c r="Q99" s="3">
        <f>Evaluation!Q105</f>
        <v>4</v>
      </c>
      <c r="R99" s="3">
        <f>Evaluation!R105</f>
        <v>2</v>
      </c>
      <c r="S99" s="3">
        <f>Evaluation!S105</f>
        <v>1</v>
      </c>
      <c r="T99" s="3">
        <f>Evaluation!T105</f>
        <v>2</v>
      </c>
      <c r="U99" s="3">
        <f>Evaluation!U105</f>
        <v>3</v>
      </c>
    </row>
    <row r="100" spans="1:21">
      <c r="A100" s="3" t="s">
        <v>531</v>
      </c>
      <c r="B100" s="3">
        <f>Evaluation!B106</f>
        <v>1</v>
      </c>
      <c r="C100" s="3">
        <f>Evaluation!C106</f>
        <v>2</v>
      </c>
      <c r="D100" s="3">
        <f>Evaluation!D106</f>
        <v>2</v>
      </c>
      <c r="E100" s="3">
        <f>Evaluation!E106</f>
        <v>1</v>
      </c>
      <c r="F100" s="3">
        <f>Evaluation!F106</f>
        <v>1</v>
      </c>
      <c r="G100" s="3">
        <f>Evaluation!G106</f>
        <v>1</v>
      </c>
      <c r="H100" s="3">
        <f>Evaluation!H106</f>
        <v>1</v>
      </c>
      <c r="I100" s="3">
        <f>Evaluation!I106</f>
        <v>2</v>
      </c>
      <c r="J100" s="3">
        <f>Evaluation!J106</f>
        <v>1</v>
      </c>
      <c r="K100" s="3">
        <f>Evaluation!K106</f>
        <v>1</v>
      </c>
      <c r="L100" s="3">
        <f>Evaluation!L106</f>
        <v>1</v>
      </c>
      <c r="M100" s="3">
        <f>Evaluation!M106</f>
        <v>1</v>
      </c>
      <c r="N100" s="3">
        <f>Evaluation!N106</f>
        <v>1</v>
      </c>
      <c r="O100" s="3">
        <f>Evaluation!O106</f>
        <v>1</v>
      </c>
      <c r="P100" s="3">
        <f>Evaluation!P106</f>
        <v>2</v>
      </c>
      <c r="Q100" s="3">
        <f>Evaluation!Q106</f>
        <v>2</v>
      </c>
      <c r="R100" s="3">
        <f>Evaluation!R106</f>
        <v>1</v>
      </c>
      <c r="S100" s="3">
        <f>Evaluation!S106</f>
        <v>2</v>
      </c>
      <c r="T100" s="3">
        <f>Evaluation!T106</f>
        <v>1</v>
      </c>
      <c r="U100" s="3">
        <f>Evaluation!U106</f>
        <v>1</v>
      </c>
    </row>
    <row r="101" spans="1:21">
      <c r="A101" s="3" t="s">
        <v>532</v>
      </c>
      <c r="B101" s="3">
        <f>Evaluation!B107</f>
        <v>4</v>
      </c>
      <c r="C101" s="3">
        <f>Evaluation!C107</f>
        <v>4</v>
      </c>
      <c r="D101" s="3">
        <f>Evaluation!D107</f>
        <v>3</v>
      </c>
      <c r="E101" s="3">
        <f>Evaluation!E107</f>
        <v>2</v>
      </c>
      <c r="F101" s="3">
        <f>Evaluation!F107</f>
        <v>4</v>
      </c>
      <c r="G101" s="3">
        <f>Evaluation!G107</f>
        <v>3</v>
      </c>
      <c r="H101" s="3">
        <f>Evaluation!H107</f>
        <v>2</v>
      </c>
      <c r="I101" s="3">
        <f>Evaluation!I107</f>
        <v>2</v>
      </c>
      <c r="J101" s="3">
        <f>Evaluation!J107</f>
        <v>3</v>
      </c>
      <c r="K101" s="3">
        <f>Evaluation!K107</f>
        <v>4</v>
      </c>
      <c r="L101" s="3">
        <f>Evaluation!L107</f>
        <v>4</v>
      </c>
      <c r="M101" s="3">
        <f>Evaluation!M107</f>
        <v>4</v>
      </c>
      <c r="N101" s="3">
        <f>Evaluation!N107</f>
        <v>3</v>
      </c>
      <c r="O101" s="3">
        <f>Evaluation!O107</f>
        <v>3</v>
      </c>
      <c r="P101" s="3">
        <f>Evaluation!P107</f>
        <v>3</v>
      </c>
      <c r="Q101" s="3">
        <f>Evaluation!Q107</f>
        <v>4</v>
      </c>
      <c r="R101" s="3">
        <f>Evaluation!R107</f>
        <v>3</v>
      </c>
      <c r="S101" s="3">
        <f>Evaluation!S107</f>
        <v>1</v>
      </c>
      <c r="T101" s="3">
        <f>Evaluation!T107</f>
        <v>3</v>
      </c>
      <c r="U101" s="3">
        <f>Evaluation!U107</f>
        <v>3</v>
      </c>
    </row>
    <row r="102" spans="1:21">
      <c r="A102" s="3" t="s">
        <v>4</v>
      </c>
      <c r="B102" s="3">
        <f>Evaluation!B108</f>
        <v>3</v>
      </c>
      <c r="C102" s="3">
        <f>Evaluation!C108</f>
        <v>3</v>
      </c>
      <c r="D102" s="3">
        <f>Evaluation!D108</f>
        <v>2</v>
      </c>
      <c r="E102" s="3">
        <f>Evaluation!E108</f>
        <v>2</v>
      </c>
      <c r="F102" s="3">
        <f>Evaluation!F108</f>
        <v>3</v>
      </c>
      <c r="G102" s="3">
        <f>Evaluation!G108</f>
        <v>2</v>
      </c>
      <c r="H102" s="3">
        <f>Evaluation!H108</f>
        <v>1</v>
      </c>
      <c r="I102" s="3">
        <f>Evaluation!I108</f>
        <v>2</v>
      </c>
      <c r="J102" s="3">
        <f>Evaluation!J108</f>
        <v>2</v>
      </c>
      <c r="K102" s="3">
        <f>Evaluation!K108</f>
        <v>3</v>
      </c>
      <c r="L102" s="3">
        <f>Evaluation!L108</f>
        <v>3</v>
      </c>
      <c r="M102" s="3">
        <f>Evaluation!M108</f>
        <v>3</v>
      </c>
      <c r="N102" s="3">
        <f>Evaluation!N108</f>
        <v>2</v>
      </c>
      <c r="O102" s="3">
        <f>Evaluation!O108</f>
        <v>2</v>
      </c>
      <c r="P102" s="3">
        <f>Evaluation!P108</f>
        <v>2</v>
      </c>
      <c r="Q102" s="3">
        <f>Evaluation!Q108</f>
        <v>3</v>
      </c>
      <c r="R102" s="3">
        <f>Evaluation!R108</f>
        <v>2</v>
      </c>
      <c r="S102" s="3">
        <f>Evaluation!S108</f>
        <v>1</v>
      </c>
      <c r="T102" s="3">
        <f>Evaluation!T108</f>
        <v>2</v>
      </c>
      <c r="U102" s="3">
        <f>Evaluation!U108</f>
        <v>2</v>
      </c>
    </row>
    <row r="103" spans="1:21">
      <c r="A103" s="3" t="s">
        <v>533</v>
      </c>
      <c r="B103" s="3">
        <f>Evaluation!B109</f>
        <v>2</v>
      </c>
      <c r="C103" s="3">
        <f>Evaluation!C109</f>
        <v>3</v>
      </c>
      <c r="D103" s="3">
        <f>Evaluation!D109</f>
        <v>3</v>
      </c>
      <c r="E103" s="3">
        <f>Evaluation!E109</f>
        <v>2</v>
      </c>
      <c r="F103" s="3">
        <f>Evaluation!F109</f>
        <v>2</v>
      </c>
      <c r="G103" s="3">
        <f>Evaluation!G109</f>
        <v>2</v>
      </c>
      <c r="H103" s="3">
        <f>Evaluation!H109</f>
        <v>3</v>
      </c>
      <c r="I103" s="3">
        <f>Evaluation!I109</f>
        <v>2</v>
      </c>
      <c r="J103" s="3">
        <f>Evaluation!J109</f>
        <v>2</v>
      </c>
      <c r="K103" s="3">
        <f>Evaluation!K109</f>
        <v>3</v>
      </c>
      <c r="L103" s="3">
        <f>Evaluation!L109</f>
        <v>2</v>
      </c>
      <c r="M103" s="3">
        <f>Evaluation!M109</f>
        <v>3</v>
      </c>
      <c r="N103" s="3">
        <f>Evaluation!N109</f>
        <v>2</v>
      </c>
      <c r="O103" s="3">
        <f>Evaluation!O109</f>
        <v>2</v>
      </c>
      <c r="P103" s="3">
        <f>Evaluation!P109</f>
        <v>3</v>
      </c>
      <c r="Q103" s="3">
        <f>Evaluation!Q109</f>
        <v>2</v>
      </c>
      <c r="R103" s="3">
        <f>Evaluation!R109</f>
        <v>2</v>
      </c>
      <c r="S103" s="3">
        <f>Evaluation!S109</f>
        <v>1</v>
      </c>
      <c r="T103" s="3">
        <f>Evaluation!T109</f>
        <v>2</v>
      </c>
      <c r="U103" s="3">
        <f>Evaluation!U109</f>
        <v>3</v>
      </c>
    </row>
    <row r="104" spans="1:21">
      <c r="A104" s="3" t="s">
        <v>534</v>
      </c>
      <c r="B104" s="3">
        <f>Evaluation!B110</f>
        <v>3</v>
      </c>
      <c r="C104" s="3">
        <f>Evaluation!C110</f>
        <v>3</v>
      </c>
      <c r="D104" s="3">
        <f>Evaluation!D110</f>
        <v>2</v>
      </c>
      <c r="E104" s="3">
        <f>Evaluation!E110</f>
        <v>1</v>
      </c>
      <c r="F104" s="3">
        <f>Evaluation!F110</f>
        <v>3</v>
      </c>
      <c r="G104" s="3">
        <f>Evaluation!G110</f>
        <v>2</v>
      </c>
      <c r="H104" s="3">
        <f>Evaluation!H110</f>
        <v>1</v>
      </c>
      <c r="I104" s="3">
        <f>Evaluation!I110</f>
        <v>1</v>
      </c>
      <c r="J104" s="3">
        <f>Evaluation!J110</f>
        <v>2</v>
      </c>
      <c r="K104" s="3">
        <f>Evaluation!K110</f>
        <v>3</v>
      </c>
      <c r="L104" s="3">
        <f>Evaluation!L110</f>
        <v>3</v>
      </c>
      <c r="M104" s="3">
        <f>Evaluation!M110</f>
        <v>3</v>
      </c>
      <c r="N104" s="3">
        <f>Evaluation!N110</f>
        <v>3</v>
      </c>
      <c r="O104" s="3">
        <f>Evaluation!O110</f>
        <v>3</v>
      </c>
      <c r="P104" s="3">
        <f>Evaluation!P110</f>
        <v>2</v>
      </c>
      <c r="Q104" s="3">
        <f>Evaluation!Q110</f>
        <v>3</v>
      </c>
      <c r="R104" s="3">
        <f>Evaluation!R110</f>
        <v>2</v>
      </c>
      <c r="S104" s="3">
        <f>Evaluation!S110</f>
        <v>1</v>
      </c>
      <c r="T104" s="3">
        <f>Evaluation!T110</f>
        <v>2</v>
      </c>
      <c r="U104" s="3">
        <f>Evaluation!U110</f>
        <v>2</v>
      </c>
    </row>
    <row r="105" spans="1:21">
      <c r="A105" s="3" t="s">
        <v>535</v>
      </c>
      <c r="B105" s="3">
        <f>Evaluation!B111</f>
        <v>2</v>
      </c>
      <c r="C105" s="3">
        <f>Evaluation!C111</f>
        <v>2</v>
      </c>
      <c r="D105" s="3">
        <f>Evaluation!D111</f>
        <v>2</v>
      </c>
      <c r="E105" s="3">
        <f>Evaluation!E111</f>
        <v>1</v>
      </c>
      <c r="F105" s="3">
        <f>Evaluation!F111</f>
        <v>2</v>
      </c>
      <c r="G105" s="3">
        <f>Evaluation!G111</f>
        <v>2</v>
      </c>
      <c r="H105" s="3">
        <f>Evaluation!H111</f>
        <v>2</v>
      </c>
      <c r="I105" s="3">
        <f>Evaluation!I111</f>
        <v>3</v>
      </c>
      <c r="J105" s="3">
        <f>Evaluation!J111</f>
        <v>2</v>
      </c>
      <c r="K105" s="3">
        <f>Evaluation!K111</f>
        <v>3</v>
      </c>
      <c r="L105" s="3">
        <f>Evaluation!L111</f>
        <v>4</v>
      </c>
      <c r="M105" s="3">
        <f>Evaluation!M111</f>
        <v>4</v>
      </c>
      <c r="N105" s="3">
        <f>Evaluation!N111</f>
        <v>2</v>
      </c>
      <c r="O105" s="3">
        <f>Evaluation!O111</f>
        <v>3</v>
      </c>
      <c r="P105" s="3">
        <f>Evaluation!P111</f>
        <v>3</v>
      </c>
      <c r="Q105" s="3">
        <f>Evaluation!Q111</f>
        <v>4</v>
      </c>
      <c r="R105" s="3">
        <f>Evaluation!R111</f>
        <v>2</v>
      </c>
      <c r="S105" s="3">
        <f>Evaluation!S111</f>
        <v>1</v>
      </c>
      <c r="T105" s="3">
        <f>Evaluation!T111</f>
        <v>1</v>
      </c>
      <c r="U105" s="3">
        <f>Evaluation!U111</f>
        <v>3</v>
      </c>
    </row>
    <row r="106" spans="1:21">
      <c r="A106" s="3" t="s">
        <v>536</v>
      </c>
      <c r="B106" s="3">
        <f>Evaluation!B112</f>
        <v>1</v>
      </c>
      <c r="C106" s="3">
        <f>Evaluation!C112</f>
        <v>1</v>
      </c>
      <c r="D106" s="3">
        <f>Evaluation!D112</f>
        <v>1</v>
      </c>
      <c r="E106" s="3">
        <f>Evaluation!E112</f>
        <v>1</v>
      </c>
      <c r="F106" s="3">
        <f>Evaluation!F112</f>
        <v>2</v>
      </c>
      <c r="G106" s="3">
        <f>Evaluation!G112</f>
        <v>2</v>
      </c>
      <c r="H106" s="3">
        <f>Evaluation!H112</f>
        <v>1</v>
      </c>
      <c r="I106" s="3">
        <f>Evaluation!I112</f>
        <v>2</v>
      </c>
      <c r="J106" s="3">
        <f>Evaluation!J112</f>
        <v>2</v>
      </c>
      <c r="K106" s="3">
        <f>Evaluation!K112</f>
        <v>2</v>
      </c>
      <c r="L106" s="3">
        <f>Evaluation!L112</f>
        <v>3</v>
      </c>
      <c r="M106" s="3">
        <f>Evaluation!M112</f>
        <v>3</v>
      </c>
      <c r="N106" s="3">
        <f>Evaluation!N112</f>
        <v>2</v>
      </c>
      <c r="O106" s="3">
        <f>Evaluation!O112</f>
        <v>3</v>
      </c>
      <c r="P106" s="3">
        <f>Evaluation!P112</f>
        <v>2</v>
      </c>
      <c r="Q106" s="3">
        <f>Evaluation!Q112</f>
        <v>3</v>
      </c>
      <c r="R106" s="3">
        <f>Evaluation!R112</f>
        <v>2</v>
      </c>
      <c r="S106" s="3">
        <f>Evaluation!S112</f>
        <v>1</v>
      </c>
      <c r="T106" s="3">
        <f>Evaluation!T112</f>
        <v>1</v>
      </c>
      <c r="U106" s="3">
        <f>Evaluation!U112</f>
        <v>2</v>
      </c>
    </row>
    <row r="107" spans="1:21">
      <c r="A107" s="3" t="s">
        <v>537</v>
      </c>
      <c r="B107" s="3">
        <f>Evaluation!B113</f>
        <v>2</v>
      </c>
      <c r="C107" s="3">
        <f>Evaluation!C113</f>
        <v>2</v>
      </c>
      <c r="D107" s="3">
        <f>Evaluation!D113</f>
        <v>2</v>
      </c>
      <c r="E107" s="3">
        <f>Evaluation!E113</f>
        <v>1</v>
      </c>
      <c r="F107" s="3">
        <f>Evaluation!F113</f>
        <v>1</v>
      </c>
      <c r="G107" s="3">
        <f>Evaluation!G113</f>
        <v>1</v>
      </c>
      <c r="H107" s="3">
        <f>Evaluation!H113</f>
        <v>1</v>
      </c>
      <c r="I107" s="3">
        <f>Evaluation!I113</f>
        <v>2</v>
      </c>
      <c r="J107" s="3">
        <f>Evaluation!J113</f>
        <v>1</v>
      </c>
      <c r="K107" s="3">
        <f>Evaluation!K113</f>
        <v>2</v>
      </c>
      <c r="L107" s="3">
        <f>Evaluation!L113</f>
        <v>2</v>
      </c>
      <c r="M107" s="3">
        <f>Evaluation!M113</f>
        <v>2</v>
      </c>
      <c r="N107" s="3">
        <f>Evaluation!N113</f>
        <v>1</v>
      </c>
      <c r="O107" s="3">
        <f>Evaluation!O113</f>
        <v>1</v>
      </c>
      <c r="P107" s="3">
        <f>Evaluation!P113</f>
        <v>2</v>
      </c>
      <c r="Q107" s="3">
        <f>Evaluation!Q113</f>
        <v>2</v>
      </c>
      <c r="R107" s="3">
        <f>Evaluation!R113</f>
        <v>1</v>
      </c>
      <c r="S107" s="3">
        <f>Evaluation!S113</f>
        <v>1</v>
      </c>
      <c r="T107" s="3">
        <f>Evaluation!T113</f>
        <v>1</v>
      </c>
      <c r="U107" s="3">
        <f>Evaluation!U113</f>
        <v>1</v>
      </c>
    </row>
    <row r="108" spans="1:21">
      <c r="A108" s="3" t="s">
        <v>533</v>
      </c>
      <c r="B108" s="3">
        <f>Evaluation!B114</f>
        <v>2</v>
      </c>
      <c r="C108" s="3">
        <f>Evaluation!C114</f>
        <v>3</v>
      </c>
      <c r="D108" s="3">
        <f>Evaluation!D114</f>
        <v>3</v>
      </c>
      <c r="E108" s="3">
        <f>Evaluation!E114</f>
        <v>2</v>
      </c>
      <c r="F108" s="3">
        <f>Evaluation!F114</f>
        <v>2</v>
      </c>
      <c r="G108" s="3">
        <f>Evaluation!G114</f>
        <v>2</v>
      </c>
      <c r="H108" s="3">
        <f>Evaluation!H114</f>
        <v>3</v>
      </c>
      <c r="I108" s="3">
        <f>Evaluation!I114</f>
        <v>2</v>
      </c>
      <c r="J108" s="3">
        <f>Evaluation!J114</f>
        <v>2</v>
      </c>
      <c r="K108" s="3">
        <f>Evaluation!K114</f>
        <v>3</v>
      </c>
      <c r="L108" s="3">
        <f>Evaluation!L114</f>
        <v>2</v>
      </c>
      <c r="M108" s="3">
        <f>Evaluation!M114</f>
        <v>3</v>
      </c>
      <c r="N108" s="3">
        <f>Evaluation!N114</f>
        <v>2</v>
      </c>
      <c r="O108" s="3">
        <f>Evaluation!O114</f>
        <v>2</v>
      </c>
      <c r="P108" s="3">
        <f>Evaluation!P114</f>
        <v>3</v>
      </c>
      <c r="Q108" s="3">
        <f>Evaluation!Q114</f>
        <v>2</v>
      </c>
      <c r="R108" s="3">
        <f>Evaluation!R114</f>
        <v>2</v>
      </c>
      <c r="S108" s="3">
        <f>Evaluation!S114</f>
        <v>1</v>
      </c>
      <c r="T108" s="3">
        <f>Evaluation!T114</f>
        <v>2</v>
      </c>
      <c r="U108" s="3">
        <f>Evaluation!U114</f>
        <v>3</v>
      </c>
    </row>
    <row r="109" spans="1:21">
      <c r="A109" s="3" t="s">
        <v>580</v>
      </c>
      <c r="B109" s="3" t="e">
        <f>Evaluation!B115</f>
        <v>#N/A</v>
      </c>
      <c r="C109" s="3" t="e">
        <f>Evaluation!C115</f>
        <v>#N/A</v>
      </c>
      <c r="D109" s="3" t="e">
        <f>Evaluation!D115</f>
        <v>#N/A</v>
      </c>
      <c r="E109" s="3" t="e">
        <f>Evaluation!E115</f>
        <v>#N/A</v>
      </c>
      <c r="F109" s="3" t="e">
        <f>Evaluation!F115</f>
        <v>#N/A</v>
      </c>
      <c r="G109" s="3" t="e">
        <f>Evaluation!G115</f>
        <v>#N/A</v>
      </c>
      <c r="H109" s="3" t="e">
        <f>Evaluation!H115</f>
        <v>#N/A</v>
      </c>
      <c r="I109" s="3" t="e">
        <f>Evaluation!I115</f>
        <v>#N/A</v>
      </c>
      <c r="J109" s="3" t="e">
        <f>Evaluation!J115</f>
        <v>#N/A</v>
      </c>
      <c r="K109" s="3" t="e">
        <f>Evaluation!K115</f>
        <v>#N/A</v>
      </c>
      <c r="L109" s="3" t="e">
        <f>Evaluation!L115</f>
        <v>#N/A</v>
      </c>
      <c r="M109" s="3" t="e">
        <f>Evaluation!M115</f>
        <v>#N/A</v>
      </c>
      <c r="N109" s="3" t="e">
        <f>Evaluation!N115</f>
        <v>#N/A</v>
      </c>
      <c r="O109" s="3" t="e">
        <f>Evaluation!O115</f>
        <v>#N/A</v>
      </c>
      <c r="P109" s="3" t="e">
        <f>Evaluation!P115</f>
        <v>#N/A</v>
      </c>
      <c r="Q109" s="3" t="e">
        <f>Evaluation!Q115</f>
        <v>#N/A</v>
      </c>
      <c r="R109" s="3" t="e">
        <f>Evaluation!R115</f>
        <v>#N/A</v>
      </c>
      <c r="S109" s="3" t="e">
        <f>Evaluation!S115</f>
        <v>#N/A</v>
      </c>
      <c r="T109" s="3" t="e">
        <f>Evaluation!T115</f>
        <v>#N/A</v>
      </c>
      <c r="U109" s="3" t="e">
        <f>Evaluation!U115</f>
        <v>#N/A</v>
      </c>
    </row>
    <row r="110" spans="1:21">
      <c r="A110" s="3" t="s">
        <v>588</v>
      </c>
      <c r="B110" s="3" t="e">
        <f>Evaluation!B116</f>
        <v>#N/A</v>
      </c>
      <c r="C110" s="3" t="e">
        <f>Evaluation!C116</f>
        <v>#N/A</v>
      </c>
      <c r="D110" s="3" t="e">
        <f>Evaluation!D116</f>
        <v>#N/A</v>
      </c>
      <c r="E110" s="3" t="e">
        <f>Evaluation!E116</f>
        <v>#N/A</v>
      </c>
      <c r="F110" s="3" t="e">
        <f>Evaluation!F116</f>
        <v>#N/A</v>
      </c>
      <c r="G110" s="3" t="e">
        <f>Evaluation!G116</f>
        <v>#N/A</v>
      </c>
      <c r="H110" s="3" t="e">
        <f>Evaluation!H116</f>
        <v>#N/A</v>
      </c>
      <c r="I110" s="3" t="e">
        <f>Evaluation!I116</f>
        <v>#N/A</v>
      </c>
      <c r="J110" s="3" t="e">
        <f>Evaluation!J116</f>
        <v>#N/A</v>
      </c>
      <c r="K110" s="3" t="e">
        <f>Evaluation!K116</f>
        <v>#N/A</v>
      </c>
      <c r="L110" s="3" t="e">
        <f>Evaluation!L116</f>
        <v>#N/A</v>
      </c>
      <c r="M110" s="3" t="e">
        <f>Evaluation!M116</f>
        <v>#N/A</v>
      </c>
      <c r="N110" s="3" t="e">
        <f>Evaluation!N116</f>
        <v>#N/A</v>
      </c>
      <c r="O110" s="3" t="e">
        <f>Evaluation!O116</f>
        <v>#N/A</v>
      </c>
      <c r="P110" s="3" t="e">
        <f>Evaluation!P116</f>
        <v>#N/A</v>
      </c>
      <c r="Q110" s="3" t="e">
        <f>Evaluation!Q116</f>
        <v>#N/A</v>
      </c>
      <c r="R110" s="3" t="e">
        <f>Evaluation!R116</f>
        <v>#N/A</v>
      </c>
      <c r="S110" s="3" t="e">
        <f>Evaluation!S116</f>
        <v>#N/A</v>
      </c>
      <c r="T110" s="3" t="e">
        <f>Evaluation!T116</f>
        <v>#N/A</v>
      </c>
      <c r="U110" s="3" t="e">
        <f>Evaluation!U116</f>
        <v>#N/A</v>
      </c>
    </row>
    <row r="111" spans="1:21">
      <c r="A111" s="3" t="s">
        <v>580</v>
      </c>
      <c r="B111" s="3" t="e">
        <f>Evaluation!B117</f>
        <v>#N/A</v>
      </c>
      <c r="C111" s="3" t="e">
        <f>Evaluation!C117</f>
        <v>#N/A</v>
      </c>
      <c r="D111" s="3" t="e">
        <f>Evaluation!D117</f>
        <v>#N/A</v>
      </c>
      <c r="E111" s="3" t="e">
        <f>Evaluation!E117</f>
        <v>#N/A</v>
      </c>
      <c r="F111" s="3" t="e">
        <f>Evaluation!F117</f>
        <v>#N/A</v>
      </c>
      <c r="G111" s="3" t="e">
        <f>Evaluation!G117</f>
        <v>#N/A</v>
      </c>
      <c r="H111" s="3" t="e">
        <f>Evaluation!H117</f>
        <v>#N/A</v>
      </c>
      <c r="I111" s="3" t="e">
        <f>Evaluation!I117</f>
        <v>#N/A</v>
      </c>
      <c r="J111" s="3" t="e">
        <f>Evaluation!J117</f>
        <v>#N/A</v>
      </c>
      <c r="K111" s="3" t="e">
        <f>Evaluation!K117</f>
        <v>#N/A</v>
      </c>
      <c r="L111" s="3" t="e">
        <f>Evaluation!L117</f>
        <v>#N/A</v>
      </c>
      <c r="M111" s="3" t="e">
        <f>Evaluation!M117</f>
        <v>#N/A</v>
      </c>
      <c r="N111" s="3" t="e">
        <f>Evaluation!N117</f>
        <v>#N/A</v>
      </c>
      <c r="O111" s="3" t="e">
        <f>Evaluation!O117</f>
        <v>#N/A</v>
      </c>
      <c r="P111" s="3" t="e">
        <f>Evaluation!P117</f>
        <v>#N/A</v>
      </c>
      <c r="Q111" s="3" t="e">
        <f>Evaluation!Q117</f>
        <v>#N/A</v>
      </c>
      <c r="R111" s="3" t="e">
        <f>Evaluation!R117</f>
        <v>#N/A</v>
      </c>
      <c r="S111" s="3" t="e">
        <f>Evaluation!S117</f>
        <v>#N/A</v>
      </c>
      <c r="T111" s="3" t="e">
        <f>Evaluation!T117</f>
        <v>#N/A</v>
      </c>
      <c r="U111" s="3" t="e">
        <f>Evaluation!U117</f>
        <v>#N/A</v>
      </c>
    </row>
    <row r="112" spans="1:21">
      <c r="A112" s="3" t="s">
        <v>589</v>
      </c>
      <c r="B112" s="3">
        <f>Evaluation!B118</f>
        <v>3</v>
      </c>
      <c r="C112" s="3">
        <f>Evaluation!C118</f>
        <v>3</v>
      </c>
      <c r="D112" s="3">
        <f>Evaluation!D118</f>
        <v>3</v>
      </c>
      <c r="E112" s="3">
        <f>Evaluation!E118</f>
        <v>1</v>
      </c>
      <c r="F112" s="3">
        <f>Evaluation!F118</f>
        <v>1</v>
      </c>
      <c r="G112" s="3">
        <f>Evaluation!G118</f>
        <v>3</v>
      </c>
      <c r="H112" s="3">
        <f>Evaluation!H118</f>
        <v>3</v>
      </c>
      <c r="I112" s="3">
        <f>Evaluation!I118</f>
        <v>2</v>
      </c>
      <c r="J112" s="3">
        <f>Evaluation!J118</f>
        <v>1</v>
      </c>
      <c r="K112" s="3">
        <f>Evaluation!K118</f>
        <v>3</v>
      </c>
      <c r="L112" s="3">
        <f>Evaluation!L118</f>
        <v>3</v>
      </c>
      <c r="M112" s="3">
        <f>Evaluation!M118</f>
        <v>1</v>
      </c>
      <c r="N112" s="3">
        <f>Evaluation!N118</f>
        <v>2</v>
      </c>
      <c r="O112" s="3">
        <f>Evaluation!O118</f>
        <v>3</v>
      </c>
      <c r="P112" s="3">
        <f>Evaluation!P118</f>
        <v>3</v>
      </c>
      <c r="Q112" s="3">
        <f>Evaluation!Q118</f>
        <v>3</v>
      </c>
      <c r="R112" s="3">
        <f>Evaluation!R118</f>
        <v>2</v>
      </c>
      <c r="S112" s="3">
        <f>Evaluation!S118</f>
        <v>3</v>
      </c>
      <c r="T112" s="3">
        <f>Evaluation!T118</f>
        <v>3</v>
      </c>
      <c r="U112" s="3">
        <f>Evaluation!U118</f>
        <v>3</v>
      </c>
    </row>
    <row r="113" spans="1:21">
      <c r="A113" s="3" t="s">
        <v>556</v>
      </c>
      <c r="B113" s="3">
        <f>Evaluation!B119</f>
        <v>3</v>
      </c>
      <c r="C113" s="3">
        <f>Evaluation!C119</f>
        <v>3</v>
      </c>
      <c r="D113" s="3">
        <f>Evaluation!D119</f>
        <v>2</v>
      </c>
      <c r="E113" s="3">
        <f>Evaluation!E119</f>
        <v>1</v>
      </c>
      <c r="F113" s="3">
        <f>Evaluation!F119</f>
        <v>1</v>
      </c>
      <c r="G113" s="3">
        <f>Evaluation!G119</f>
        <v>3</v>
      </c>
      <c r="H113" s="3">
        <f>Evaluation!H119</f>
        <v>3</v>
      </c>
      <c r="I113" s="3">
        <f>Evaluation!I119</f>
        <v>1</v>
      </c>
      <c r="J113" s="3">
        <f>Evaluation!J119</f>
        <v>1</v>
      </c>
      <c r="K113" s="3">
        <f>Evaluation!K119</f>
        <v>3</v>
      </c>
      <c r="L113" s="3">
        <f>Evaluation!L119</f>
        <v>3</v>
      </c>
      <c r="M113" s="3">
        <f>Evaluation!M119</f>
        <v>1</v>
      </c>
      <c r="N113" s="3">
        <f>Evaluation!N119</f>
        <v>2</v>
      </c>
      <c r="O113" s="3">
        <f>Evaluation!O119</f>
        <v>3</v>
      </c>
      <c r="P113" s="3">
        <f>Evaluation!P119</f>
        <v>2</v>
      </c>
      <c r="Q113" s="3">
        <f>Evaluation!Q119</f>
        <v>2</v>
      </c>
      <c r="R113" s="3">
        <f>Evaluation!R119</f>
        <v>2</v>
      </c>
      <c r="S113" s="3">
        <f>Evaluation!S119</f>
        <v>3</v>
      </c>
      <c r="T113" s="3">
        <f>Evaluation!T119</f>
        <v>3</v>
      </c>
      <c r="U113" s="3">
        <f>Evaluation!U119</f>
        <v>3</v>
      </c>
    </row>
    <row r="114" spans="1:21">
      <c r="A114" s="3" t="s">
        <v>531</v>
      </c>
      <c r="B114" s="3">
        <f>Evaluation!B120</f>
        <v>1</v>
      </c>
      <c r="C114" s="3">
        <f>Evaluation!C120</f>
        <v>2</v>
      </c>
      <c r="D114" s="3">
        <f>Evaluation!D120</f>
        <v>2</v>
      </c>
      <c r="E114" s="3">
        <f>Evaluation!E120</f>
        <v>1</v>
      </c>
      <c r="F114" s="3">
        <f>Evaluation!F120</f>
        <v>1</v>
      </c>
      <c r="G114" s="3">
        <f>Evaluation!G120</f>
        <v>1</v>
      </c>
      <c r="H114" s="3">
        <f>Evaluation!H120</f>
        <v>1</v>
      </c>
      <c r="I114" s="3">
        <f>Evaluation!I120</f>
        <v>2</v>
      </c>
      <c r="J114" s="3">
        <f>Evaluation!J120</f>
        <v>1</v>
      </c>
      <c r="K114" s="3">
        <f>Evaluation!K120</f>
        <v>1</v>
      </c>
      <c r="L114" s="3">
        <f>Evaluation!L120</f>
        <v>1</v>
      </c>
      <c r="M114" s="3">
        <f>Evaluation!M120</f>
        <v>1</v>
      </c>
      <c r="N114" s="3">
        <f>Evaluation!N120</f>
        <v>1</v>
      </c>
      <c r="O114" s="3">
        <f>Evaluation!O120</f>
        <v>1</v>
      </c>
      <c r="P114" s="3">
        <f>Evaluation!P120</f>
        <v>2</v>
      </c>
      <c r="Q114" s="3">
        <f>Evaluation!Q120</f>
        <v>2</v>
      </c>
      <c r="R114" s="3">
        <f>Evaluation!R120</f>
        <v>1</v>
      </c>
      <c r="S114" s="3">
        <f>Evaluation!S120</f>
        <v>2</v>
      </c>
      <c r="T114" s="3">
        <f>Evaluation!T120</f>
        <v>1</v>
      </c>
      <c r="U114" s="3">
        <f>Evaluation!U120</f>
        <v>1</v>
      </c>
    </row>
    <row r="115" spans="1:21">
      <c r="A115" s="3" t="s">
        <v>455</v>
      </c>
      <c r="B115" s="3" t="e">
        <f>Evaluation!B121</f>
        <v>#N/A</v>
      </c>
      <c r="C115" s="3" t="e">
        <f>Evaluation!C121</f>
        <v>#N/A</v>
      </c>
      <c r="D115" s="3" t="e">
        <f>Evaluation!D121</f>
        <v>#N/A</v>
      </c>
      <c r="E115" s="3" t="e">
        <f>Evaluation!E121</f>
        <v>#N/A</v>
      </c>
      <c r="F115" s="3" t="e">
        <f>Evaluation!F121</f>
        <v>#N/A</v>
      </c>
      <c r="G115" s="3" t="e">
        <f>Evaluation!G121</f>
        <v>#N/A</v>
      </c>
      <c r="H115" s="3" t="e">
        <f>Evaluation!H121</f>
        <v>#N/A</v>
      </c>
      <c r="I115" s="3" t="e">
        <f>Evaluation!I121</f>
        <v>#N/A</v>
      </c>
      <c r="J115" s="3" t="e">
        <f>Evaluation!J121</f>
        <v>#N/A</v>
      </c>
      <c r="K115" s="3" t="e">
        <f>Evaluation!K121</f>
        <v>#N/A</v>
      </c>
      <c r="L115" s="3" t="e">
        <f>Evaluation!L121</f>
        <v>#N/A</v>
      </c>
      <c r="M115" s="3" t="e">
        <f>Evaluation!M121</f>
        <v>#N/A</v>
      </c>
      <c r="N115" s="3" t="e">
        <f>Evaluation!N121</f>
        <v>#N/A</v>
      </c>
      <c r="O115" s="3" t="e">
        <f>Evaluation!O121</f>
        <v>#N/A</v>
      </c>
      <c r="P115" s="3" t="e">
        <f>Evaluation!P121</f>
        <v>#N/A</v>
      </c>
      <c r="Q115" s="3" t="e">
        <f>Evaluation!Q121</f>
        <v>#N/A</v>
      </c>
      <c r="R115" s="3" t="e">
        <f>Evaluation!R121</f>
        <v>#N/A</v>
      </c>
      <c r="S115" s="3" t="e">
        <f>Evaluation!S121</f>
        <v>#N/A</v>
      </c>
      <c r="T115" s="3" t="e">
        <f>Evaluation!T121</f>
        <v>#N/A</v>
      </c>
      <c r="U115" s="3" t="e">
        <f>Evaluation!U121</f>
        <v>#N/A</v>
      </c>
    </row>
    <row r="116" spans="1:21">
      <c r="A116" s="3" t="s">
        <v>590</v>
      </c>
      <c r="B116" s="3">
        <f>Evaluation!B122</f>
        <v>1</v>
      </c>
      <c r="C116" s="3">
        <f>Evaluation!C122</f>
        <v>1</v>
      </c>
      <c r="D116" s="3">
        <f>Evaluation!D122</f>
        <v>1</v>
      </c>
      <c r="E116" s="3">
        <f>Evaluation!E122</f>
        <v>1</v>
      </c>
      <c r="F116" s="3">
        <f>Evaluation!F122</f>
        <v>1</v>
      </c>
      <c r="G116" s="3">
        <f>Evaluation!G122</f>
        <v>1</v>
      </c>
      <c r="H116" s="3">
        <f>Evaluation!H122</f>
        <v>1</v>
      </c>
      <c r="I116" s="3">
        <f>Evaluation!I122</f>
        <v>2</v>
      </c>
      <c r="J116" s="3">
        <f>Evaluation!J122</f>
        <v>1</v>
      </c>
      <c r="K116" s="3">
        <f>Evaluation!K122</f>
        <v>1</v>
      </c>
      <c r="L116" s="3">
        <f>Evaluation!L122</f>
        <v>1</v>
      </c>
      <c r="M116" s="3">
        <f>Evaluation!M122</f>
        <v>1</v>
      </c>
      <c r="N116" s="3">
        <f>Evaluation!N122</f>
        <v>1</v>
      </c>
      <c r="O116" s="3">
        <f>Evaluation!O122</f>
        <v>1</v>
      </c>
      <c r="P116" s="3">
        <f>Evaluation!P122</f>
        <v>1</v>
      </c>
      <c r="Q116" s="3">
        <f>Evaluation!Q122</f>
        <v>2</v>
      </c>
      <c r="R116" s="3">
        <f>Evaluation!R122</f>
        <v>1</v>
      </c>
      <c r="S116" s="3">
        <f>Evaluation!S122</f>
        <v>1</v>
      </c>
      <c r="T116" s="3">
        <f>Evaluation!T122</f>
        <v>1</v>
      </c>
      <c r="U116" s="3">
        <f>Evaluation!U122</f>
        <v>1</v>
      </c>
    </row>
    <row r="117" spans="1:21">
      <c r="A117" s="3" t="s">
        <v>591</v>
      </c>
      <c r="B117" s="3" t="e">
        <f>Evaluation!B123</f>
        <v>#N/A</v>
      </c>
      <c r="C117" s="3" t="e">
        <f>Evaluation!C123</f>
        <v>#N/A</v>
      </c>
      <c r="D117" s="3" t="e">
        <f>Evaluation!D123</f>
        <v>#N/A</v>
      </c>
      <c r="E117" s="3" t="e">
        <f>Evaluation!E123</f>
        <v>#N/A</v>
      </c>
      <c r="F117" s="3" t="e">
        <f>Evaluation!F123</f>
        <v>#N/A</v>
      </c>
      <c r="G117" s="3" t="e">
        <f>Evaluation!G123</f>
        <v>#N/A</v>
      </c>
      <c r="H117" s="3" t="e">
        <f>Evaluation!H123</f>
        <v>#N/A</v>
      </c>
      <c r="I117" s="3" t="e">
        <f>Evaluation!I123</f>
        <v>#N/A</v>
      </c>
      <c r="J117" s="3" t="e">
        <f>Evaluation!J123</f>
        <v>#N/A</v>
      </c>
      <c r="K117" s="3" t="e">
        <f>Evaluation!K123</f>
        <v>#N/A</v>
      </c>
      <c r="L117" s="3" t="e">
        <f>Evaluation!L123</f>
        <v>#N/A</v>
      </c>
      <c r="M117" s="3" t="e">
        <f>Evaluation!M123</f>
        <v>#N/A</v>
      </c>
      <c r="N117" s="3" t="e">
        <f>Evaluation!N123</f>
        <v>#N/A</v>
      </c>
      <c r="O117" s="3" t="e">
        <f>Evaluation!O123</f>
        <v>#N/A</v>
      </c>
      <c r="P117" s="3" t="e">
        <f>Evaluation!P123</f>
        <v>#N/A</v>
      </c>
      <c r="Q117" s="3" t="e">
        <f>Evaluation!Q123</f>
        <v>#N/A</v>
      </c>
      <c r="R117" s="3" t="e">
        <f>Evaluation!R123</f>
        <v>#N/A</v>
      </c>
      <c r="S117" s="3" t="e">
        <f>Evaluation!S123</f>
        <v>#N/A</v>
      </c>
      <c r="T117" s="3" t="e">
        <f>Evaluation!T123</f>
        <v>#N/A</v>
      </c>
      <c r="U117" s="3" t="e">
        <f>Evaluation!U123</f>
        <v>#N/A</v>
      </c>
    </row>
    <row r="118" spans="1:21">
      <c r="A118" s="3" t="s">
        <v>451</v>
      </c>
      <c r="B118" s="3" t="e">
        <f>Evaluation!B124</f>
        <v>#N/A</v>
      </c>
      <c r="C118" s="3" t="e">
        <f>Evaluation!C124</f>
        <v>#N/A</v>
      </c>
      <c r="D118" s="3" t="e">
        <f>Evaluation!D124</f>
        <v>#N/A</v>
      </c>
      <c r="E118" s="3" t="e">
        <f>Evaluation!E124</f>
        <v>#N/A</v>
      </c>
      <c r="F118" s="3" t="e">
        <f>Evaluation!F124</f>
        <v>#N/A</v>
      </c>
      <c r="G118" s="3" t="e">
        <f>Evaluation!G124</f>
        <v>#N/A</v>
      </c>
      <c r="H118" s="3" t="e">
        <f>Evaluation!H124</f>
        <v>#N/A</v>
      </c>
      <c r="I118" s="3" t="e">
        <f>Evaluation!I124</f>
        <v>#N/A</v>
      </c>
      <c r="J118" s="3" t="e">
        <f>Evaluation!J124</f>
        <v>#N/A</v>
      </c>
      <c r="K118" s="3" t="e">
        <f>Evaluation!K124</f>
        <v>#N/A</v>
      </c>
      <c r="L118" s="3" t="e">
        <f>Evaluation!L124</f>
        <v>#N/A</v>
      </c>
      <c r="M118" s="3" t="e">
        <f>Evaluation!M124</f>
        <v>#N/A</v>
      </c>
      <c r="N118" s="3" t="e">
        <f>Evaluation!N124</f>
        <v>#N/A</v>
      </c>
      <c r="O118" s="3" t="e">
        <f>Evaluation!O124</f>
        <v>#N/A</v>
      </c>
      <c r="P118" s="3" t="e">
        <f>Evaluation!P124</f>
        <v>#N/A</v>
      </c>
      <c r="Q118" s="3" t="e">
        <f>Evaluation!Q124</f>
        <v>#N/A</v>
      </c>
      <c r="R118" s="3" t="e">
        <f>Evaluation!R124</f>
        <v>#N/A</v>
      </c>
      <c r="S118" s="3" t="e">
        <f>Evaluation!S124</f>
        <v>#N/A</v>
      </c>
      <c r="T118" s="3" t="e">
        <f>Evaluation!T124</f>
        <v>#N/A</v>
      </c>
      <c r="U118" s="3" t="e">
        <f>Evaluation!U124</f>
        <v>#N/A</v>
      </c>
    </row>
    <row r="119" spans="1:21">
      <c r="A119" s="3" t="s">
        <v>592</v>
      </c>
      <c r="B119" s="3" t="e">
        <f>Evaluation!B125</f>
        <v>#N/A</v>
      </c>
      <c r="C119" s="3" t="e">
        <f>Evaluation!C125</f>
        <v>#N/A</v>
      </c>
      <c r="D119" s="3" t="e">
        <f>Evaluation!D125</f>
        <v>#N/A</v>
      </c>
      <c r="E119" s="3" t="e">
        <f>Evaluation!E125</f>
        <v>#N/A</v>
      </c>
      <c r="F119" s="3" t="e">
        <f>Evaluation!F125</f>
        <v>#N/A</v>
      </c>
      <c r="G119" s="3" t="e">
        <f>Evaluation!G125</f>
        <v>#N/A</v>
      </c>
      <c r="H119" s="3" t="e">
        <f>Evaluation!H125</f>
        <v>#N/A</v>
      </c>
      <c r="I119" s="3" t="e">
        <f>Evaluation!I125</f>
        <v>#N/A</v>
      </c>
      <c r="J119" s="3" t="e">
        <f>Evaluation!J125</f>
        <v>#N/A</v>
      </c>
      <c r="K119" s="3" t="e">
        <f>Evaluation!K125</f>
        <v>#N/A</v>
      </c>
      <c r="L119" s="3" t="e">
        <f>Evaluation!L125</f>
        <v>#N/A</v>
      </c>
      <c r="M119" s="3" t="e">
        <f>Evaluation!M125</f>
        <v>#N/A</v>
      </c>
      <c r="N119" s="3" t="e">
        <f>Evaluation!N125</f>
        <v>#N/A</v>
      </c>
      <c r="O119" s="3" t="e">
        <f>Evaluation!O125</f>
        <v>#N/A</v>
      </c>
      <c r="P119" s="3" t="e">
        <f>Evaluation!P125</f>
        <v>#N/A</v>
      </c>
      <c r="Q119" s="3" t="e">
        <f>Evaluation!Q125</f>
        <v>#N/A</v>
      </c>
      <c r="R119" s="3" t="e">
        <f>Evaluation!R125</f>
        <v>#N/A</v>
      </c>
      <c r="S119" s="3" t="e">
        <f>Evaluation!S125</f>
        <v>#N/A</v>
      </c>
      <c r="T119" s="3" t="e">
        <f>Evaluation!T125</f>
        <v>#N/A</v>
      </c>
      <c r="U119" s="3" t="e">
        <f>Evaluation!U125</f>
        <v>#N/A</v>
      </c>
    </row>
    <row r="120" spans="1:21">
      <c r="A120" s="3" t="s">
        <v>593</v>
      </c>
      <c r="B120" s="3">
        <f>Evaluation!B126</f>
        <v>2</v>
      </c>
      <c r="C120" s="3">
        <f>Evaluation!C126</f>
        <v>2</v>
      </c>
      <c r="D120" s="3">
        <f>Evaluation!D126</f>
        <v>1</v>
      </c>
      <c r="E120" s="3">
        <f>Evaluation!E126</f>
        <v>2</v>
      </c>
      <c r="F120" s="3">
        <f>Evaluation!F126</f>
        <v>2</v>
      </c>
      <c r="G120" s="3">
        <f>Evaluation!G126</f>
        <v>2</v>
      </c>
      <c r="H120" s="3">
        <f>Evaluation!H126</f>
        <v>2</v>
      </c>
      <c r="I120" s="3">
        <f>Evaluation!I126</f>
        <v>1</v>
      </c>
      <c r="J120" s="3">
        <f>Evaluation!J126</f>
        <v>1</v>
      </c>
      <c r="K120" s="3">
        <f>Evaluation!K126</f>
        <v>1</v>
      </c>
      <c r="L120" s="3">
        <f>Evaluation!L126</f>
        <v>3</v>
      </c>
      <c r="M120" s="3">
        <f>Evaluation!M126</f>
        <v>3</v>
      </c>
      <c r="N120" s="3">
        <f>Evaluation!N126</f>
        <v>2</v>
      </c>
      <c r="O120" s="3">
        <f>Evaluation!O126</f>
        <v>3</v>
      </c>
      <c r="P120" s="3">
        <f>Evaluation!P126</f>
        <v>3</v>
      </c>
      <c r="Q120" s="3">
        <f>Evaluation!Q126</f>
        <v>1</v>
      </c>
      <c r="R120" s="3">
        <f>Evaluation!R126</f>
        <v>2</v>
      </c>
      <c r="S120" s="3">
        <f>Evaluation!S126</f>
        <v>1</v>
      </c>
      <c r="T120" s="3">
        <f>Evaluation!T126</f>
        <v>2</v>
      </c>
      <c r="U120" s="3">
        <f>Evaluation!U126</f>
        <v>2</v>
      </c>
    </row>
    <row r="121" spans="1:21">
      <c r="A121" s="3" t="s">
        <v>594</v>
      </c>
      <c r="B121" s="3" t="e">
        <f>Evaluation!B127</f>
        <v>#N/A</v>
      </c>
      <c r="C121" s="3" t="e">
        <f>Evaluation!C127</f>
        <v>#N/A</v>
      </c>
      <c r="D121" s="3" t="e">
        <f>Evaluation!D127</f>
        <v>#N/A</v>
      </c>
      <c r="E121" s="3" t="e">
        <f>Evaluation!E127</f>
        <v>#N/A</v>
      </c>
      <c r="F121" s="3" t="e">
        <f>Evaluation!F127</f>
        <v>#N/A</v>
      </c>
      <c r="G121" s="3" t="e">
        <f>Evaluation!G127</f>
        <v>#N/A</v>
      </c>
      <c r="H121" s="3" t="e">
        <f>Evaluation!H127</f>
        <v>#N/A</v>
      </c>
      <c r="I121" s="3" t="e">
        <f>Evaluation!I127</f>
        <v>#N/A</v>
      </c>
      <c r="J121" s="3" t="e">
        <f>Evaluation!J127</f>
        <v>#N/A</v>
      </c>
      <c r="K121" s="3" t="e">
        <f>Evaluation!K127</f>
        <v>#N/A</v>
      </c>
      <c r="L121" s="3" t="e">
        <f>Evaluation!L127</f>
        <v>#N/A</v>
      </c>
      <c r="M121" s="3" t="e">
        <f>Evaluation!M127</f>
        <v>#N/A</v>
      </c>
      <c r="N121" s="3" t="e">
        <f>Evaluation!N127</f>
        <v>#N/A</v>
      </c>
      <c r="O121" s="3" t="e">
        <f>Evaluation!O127</f>
        <v>#N/A</v>
      </c>
      <c r="P121" s="3" t="e">
        <f>Evaluation!P127</f>
        <v>#N/A</v>
      </c>
      <c r="Q121" s="3" t="e">
        <f>Evaluation!Q127</f>
        <v>#N/A</v>
      </c>
      <c r="R121" s="3" t="e">
        <f>Evaluation!R127</f>
        <v>#N/A</v>
      </c>
      <c r="S121" s="3" t="e">
        <f>Evaluation!S127</f>
        <v>#N/A</v>
      </c>
      <c r="T121" s="3" t="e">
        <f>Evaluation!T127</f>
        <v>#N/A</v>
      </c>
      <c r="U121" s="3" t="e">
        <f>Evaluation!U127</f>
        <v>#N/A</v>
      </c>
    </row>
    <row r="122" spans="1:21">
      <c r="A122" s="3" t="s">
        <v>595</v>
      </c>
      <c r="B122" s="3" t="e">
        <f>Evaluation!B128</f>
        <v>#N/A</v>
      </c>
      <c r="C122" s="3" t="e">
        <f>Evaluation!C128</f>
        <v>#N/A</v>
      </c>
      <c r="D122" s="3" t="e">
        <f>Evaluation!D128</f>
        <v>#N/A</v>
      </c>
      <c r="E122" s="3" t="e">
        <f>Evaluation!E128</f>
        <v>#N/A</v>
      </c>
      <c r="F122" s="3" t="e">
        <f>Evaluation!F128</f>
        <v>#N/A</v>
      </c>
      <c r="G122" s="3" t="e">
        <f>Evaluation!G128</f>
        <v>#N/A</v>
      </c>
      <c r="H122" s="3" t="e">
        <f>Evaluation!H128</f>
        <v>#N/A</v>
      </c>
      <c r="I122" s="3" t="e">
        <f>Evaluation!I128</f>
        <v>#N/A</v>
      </c>
      <c r="J122" s="3" t="e">
        <f>Evaluation!J128</f>
        <v>#N/A</v>
      </c>
      <c r="K122" s="3" t="e">
        <f>Evaluation!K128</f>
        <v>#N/A</v>
      </c>
      <c r="L122" s="3" t="e">
        <f>Evaluation!L128</f>
        <v>#N/A</v>
      </c>
      <c r="M122" s="3" t="e">
        <f>Evaluation!M128</f>
        <v>#N/A</v>
      </c>
      <c r="N122" s="3" t="e">
        <f>Evaluation!N128</f>
        <v>#N/A</v>
      </c>
      <c r="O122" s="3" t="e">
        <f>Evaluation!O128</f>
        <v>#N/A</v>
      </c>
      <c r="P122" s="3" t="e">
        <f>Evaluation!P128</f>
        <v>#N/A</v>
      </c>
      <c r="Q122" s="3" t="e">
        <f>Evaluation!Q128</f>
        <v>#N/A</v>
      </c>
      <c r="R122" s="3" t="e">
        <f>Evaluation!R128</f>
        <v>#N/A</v>
      </c>
      <c r="S122" s="3" t="e">
        <f>Evaluation!S128</f>
        <v>#N/A</v>
      </c>
      <c r="T122" s="3" t="e">
        <f>Evaluation!T128</f>
        <v>#N/A</v>
      </c>
      <c r="U122" s="3" t="e">
        <f>Evaluation!U128</f>
        <v>#N/A</v>
      </c>
    </row>
    <row r="123" spans="1:21">
      <c r="A123" s="3" t="s">
        <v>445</v>
      </c>
      <c r="B123" s="3" t="e">
        <f>Evaluation!B129</f>
        <v>#N/A</v>
      </c>
      <c r="C123" s="3" t="e">
        <f>Evaluation!C129</f>
        <v>#N/A</v>
      </c>
      <c r="D123" s="3" t="e">
        <f>Evaluation!D129</f>
        <v>#N/A</v>
      </c>
      <c r="E123" s="3" t="e">
        <f>Evaluation!E129</f>
        <v>#N/A</v>
      </c>
      <c r="F123" s="3" t="e">
        <f>Evaluation!F129</f>
        <v>#N/A</v>
      </c>
      <c r="G123" s="3" t="e">
        <f>Evaluation!G129</f>
        <v>#N/A</v>
      </c>
      <c r="H123" s="3" t="e">
        <f>Evaluation!H129</f>
        <v>#N/A</v>
      </c>
      <c r="I123" s="3" t="e">
        <f>Evaluation!I129</f>
        <v>#N/A</v>
      </c>
      <c r="J123" s="3" t="e">
        <f>Evaluation!J129</f>
        <v>#N/A</v>
      </c>
      <c r="K123" s="3" t="e">
        <f>Evaluation!K129</f>
        <v>#N/A</v>
      </c>
      <c r="L123" s="3" t="e">
        <f>Evaluation!L129</f>
        <v>#N/A</v>
      </c>
      <c r="M123" s="3" t="e">
        <f>Evaluation!M129</f>
        <v>#N/A</v>
      </c>
      <c r="N123" s="3" t="e">
        <f>Evaluation!N129</f>
        <v>#N/A</v>
      </c>
      <c r="O123" s="3" t="e">
        <f>Evaluation!O129</f>
        <v>#N/A</v>
      </c>
      <c r="P123" s="3" t="e">
        <f>Evaluation!P129</f>
        <v>#N/A</v>
      </c>
      <c r="Q123" s="3" t="e">
        <f>Evaluation!Q129</f>
        <v>#N/A</v>
      </c>
      <c r="R123" s="3" t="e">
        <f>Evaluation!R129</f>
        <v>#N/A</v>
      </c>
      <c r="S123" s="3" t="e">
        <f>Evaluation!S129</f>
        <v>#N/A</v>
      </c>
      <c r="T123" s="3" t="e">
        <f>Evaluation!T129</f>
        <v>#N/A</v>
      </c>
      <c r="U123" s="3" t="e">
        <f>Evaluation!U129</f>
        <v>#N/A</v>
      </c>
    </row>
    <row r="124" spans="1:21">
      <c r="A124" s="3" t="s">
        <v>593</v>
      </c>
      <c r="B124" s="3">
        <f>Evaluation!B130</f>
        <v>2</v>
      </c>
      <c r="C124" s="3">
        <f>Evaluation!C130</f>
        <v>2</v>
      </c>
      <c r="D124" s="3">
        <f>Evaluation!D130</f>
        <v>1</v>
      </c>
      <c r="E124" s="3">
        <f>Evaluation!E130</f>
        <v>2</v>
      </c>
      <c r="F124" s="3">
        <f>Evaluation!F130</f>
        <v>2</v>
      </c>
      <c r="G124" s="3">
        <f>Evaluation!G130</f>
        <v>2</v>
      </c>
      <c r="H124" s="3">
        <f>Evaluation!H130</f>
        <v>2</v>
      </c>
      <c r="I124" s="3">
        <f>Evaluation!I130</f>
        <v>1</v>
      </c>
      <c r="J124" s="3">
        <f>Evaluation!J130</f>
        <v>1</v>
      </c>
      <c r="K124" s="3">
        <f>Evaluation!K130</f>
        <v>1</v>
      </c>
      <c r="L124" s="3">
        <f>Evaluation!L130</f>
        <v>3</v>
      </c>
      <c r="M124" s="3">
        <f>Evaluation!M130</f>
        <v>3</v>
      </c>
      <c r="N124" s="3">
        <f>Evaluation!N130</f>
        <v>2</v>
      </c>
      <c r="O124" s="3">
        <f>Evaluation!O130</f>
        <v>3</v>
      </c>
      <c r="P124" s="3">
        <f>Evaluation!P130</f>
        <v>3</v>
      </c>
      <c r="Q124" s="3">
        <f>Evaluation!Q130</f>
        <v>1</v>
      </c>
      <c r="R124" s="3">
        <f>Evaluation!R130</f>
        <v>2</v>
      </c>
      <c r="S124" s="3">
        <f>Evaluation!S130</f>
        <v>1</v>
      </c>
      <c r="T124" s="3">
        <f>Evaluation!T130</f>
        <v>2</v>
      </c>
      <c r="U124" s="3">
        <f>Evaluation!U130</f>
        <v>2</v>
      </c>
    </row>
    <row r="125" spans="1:21">
      <c r="A125" s="3" t="s">
        <v>583</v>
      </c>
      <c r="B125" s="3" t="e">
        <f>Evaluation!B131</f>
        <v>#N/A</v>
      </c>
      <c r="C125" s="3" t="e">
        <f>Evaluation!C131</f>
        <v>#N/A</v>
      </c>
      <c r="D125" s="3" t="e">
        <f>Evaluation!D131</f>
        <v>#N/A</v>
      </c>
      <c r="E125" s="3" t="e">
        <f>Evaluation!E131</f>
        <v>#N/A</v>
      </c>
      <c r="F125" s="3" t="e">
        <f>Evaluation!F131</f>
        <v>#N/A</v>
      </c>
      <c r="G125" s="3" t="e">
        <f>Evaluation!G131</f>
        <v>#N/A</v>
      </c>
      <c r="H125" s="3" t="e">
        <f>Evaluation!H131</f>
        <v>#N/A</v>
      </c>
      <c r="I125" s="3" t="e">
        <f>Evaluation!I131</f>
        <v>#N/A</v>
      </c>
      <c r="J125" s="3" t="e">
        <f>Evaluation!J131</f>
        <v>#N/A</v>
      </c>
      <c r="K125" s="3" t="e">
        <f>Evaluation!K131</f>
        <v>#N/A</v>
      </c>
      <c r="L125" s="3" t="e">
        <f>Evaluation!L131</f>
        <v>#N/A</v>
      </c>
      <c r="M125" s="3" t="e">
        <f>Evaluation!M131</f>
        <v>#N/A</v>
      </c>
      <c r="N125" s="3" t="e">
        <f>Evaluation!N131</f>
        <v>#N/A</v>
      </c>
      <c r="O125" s="3" t="e">
        <f>Evaluation!O131</f>
        <v>#N/A</v>
      </c>
      <c r="P125" s="3" t="e">
        <f>Evaluation!P131</f>
        <v>#N/A</v>
      </c>
      <c r="Q125" s="3" t="e">
        <f>Evaluation!Q131</f>
        <v>#N/A</v>
      </c>
      <c r="R125" s="3" t="e">
        <f>Evaluation!R131</f>
        <v>#N/A</v>
      </c>
      <c r="S125" s="3" t="e">
        <f>Evaluation!S131</f>
        <v>#N/A</v>
      </c>
      <c r="T125" s="3" t="e">
        <f>Evaluation!T131</f>
        <v>#N/A</v>
      </c>
      <c r="U125" s="3" t="e">
        <f>Evaluation!U131</f>
        <v>#N/A</v>
      </c>
    </row>
    <row r="126" spans="1:21">
      <c r="A126" s="3" t="s">
        <v>584</v>
      </c>
      <c r="B126" s="3" t="e">
        <f>Evaluation!B132</f>
        <v>#N/A</v>
      </c>
      <c r="C126" s="3" t="e">
        <f>Evaluation!C132</f>
        <v>#N/A</v>
      </c>
      <c r="D126" s="3" t="e">
        <f>Evaluation!D132</f>
        <v>#N/A</v>
      </c>
      <c r="E126" s="3" t="e">
        <f>Evaluation!E132</f>
        <v>#N/A</v>
      </c>
      <c r="F126" s="3" t="e">
        <f>Evaluation!F132</f>
        <v>#N/A</v>
      </c>
      <c r="G126" s="3" t="e">
        <f>Evaluation!G132</f>
        <v>#N/A</v>
      </c>
      <c r="H126" s="3" t="e">
        <f>Evaluation!H132</f>
        <v>#N/A</v>
      </c>
      <c r="I126" s="3" t="e">
        <f>Evaluation!I132</f>
        <v>#N/A</v>
      </c>
      <c r="J126" s="3" t="e">
        <f>Evaluation!J132</f>
        <v>#N/A</v>
      </c>
      <c r="K126" s="3" t="e">
        <f>Evaluation!K132</f>
        <v>#N/A</v>
      </c>
      <c r="L126" s="3" t="e">
        <f>Evaluation!L132</f>
        <v>#N/A</v>
      </c>
      <c r="M126" s="3" t="e">
        <f>Evaluation!M132</f>
        <v>#N/A</v>
      </c>
      <c r="N126" s="3" t="e">
        <f>Evaluation!N132</f>
        <v>#N/A</v>
      </c>
      <c r="O126" s="3" t="e">
        <f>Evaluation!O132</f>
        <v>#N/A</v>
      </c>
      <c r="P126" s="3" t="e">
        <f>Evaluation!P132</f>
        <v>#N/A</v>
      </c>
      <c r="Q126" s="3" t="e">
        <f>Evaluation!Q132</f>
        <v>#N/A</v>
      </c>
      <c r="R126" s="3" t="e">
        <f>Evaluation!R132</f>
        <v>#N/A</v>
      </c>
      <c r="S126" s="3" t="e">
        <f>Evaluation!S132</f>
        <v>#N/A</v>
      </c>
      <c r="T126" s="3" t="e">
        <f>Evaluation!T132</f>
        <v>#N/A</v>
      </c>
      <c r="U126" s="3" t="e">
        <f>Evaluation!U132</f>
        <v>#N/A</v>
      </c>
    </row>
    <row r="127" spans="1:21">
      <c r="A127" s="3" t="s">
        <v>585</v>
      </c>
      <c r="B127" s="3" t="e">
        <f>Evaluation!B133</f>
        <v>#N/A</v>
      </c>
      <c r="C127" s="3" t="e">
        <f>Evaluation!C133</f>
        <v>#N/A</v>
      </c>
      <c r="D127" s="3" t="e">
        <f>Evaluation!D133</f>
        <v>#N/A</v>
      </c>
      <c r="E127" s="3" t="e">
        <f>Evaluation!E133</f>
        <v>#N/A</v>
      </c>
      <c r="F127" s="3" t="e">
        <f>Evaluation!F133</f>
        <v>#N/A</v>
      </c>
      <c r="G127" s="3" t="e">
        <f>Evaluation!G133</f>
        <v>#N/A</v>
      </c>
      <c r="H127" s="3" t="e">
        <f>Evaluation!H133</f>
        <v>#N/A</v>
      </c>
      <c r="I127" s="3" t="e">
        <f>Evaluation!I133</f>
        <v>#N/A</v>
      </c>
      <c r="J127" s="3" t="e">
        <f>Evaluation!J133</f>
        <v>#N/A</v>
      </c>
      <c r="K127" s="3" t="e">
        <f>Evaluation!K133</f>
        <v>#N/A</v>
      </c>
      <c r="L127" s="3" t="e">
        <f>Evaluation!L133</f>
        <v>#N/A</v>
      </c>
      <c r="M127" s="3" t="e">
        <f>Evaluation!M133</f>
        <v>#N/A</v>
      </c>
      <c r="N127" s="3" t="e">
        <f>Evaluation!N133</f>
        <v>#N/A</v>
      </c>
      <c r="O127" s="3" t="e">
        <f>Evaluation!O133</f>
        <v>#N/A</v>
      </c>
      <c r="P127" s="3" t="e">
        <f>Evaluation!P133</f>
        <v>#N/A</v>
      </c>
      <c r="Q127" s="3" t="e">
        <f>Evaluation!Q133</f>
        <v>#N/A</v>
      </c>
      <c r="R127" s="3" t="e">
        <f>Evaluation!R133</f>
        <v>#N/A</v>
      </c>
      <c r="S127" s="3" t="e">
        <f>Evaluation!S133</f>
        <v>#N/A</v>
      </c>
      <c r="T127" s="3" t="e">
        <f>Evaluation!T133</f>
        <v>#N/A</v>
      </c>
      <c r="U127" s="3" t="e">
        <f>Evaluation!U133</f>
        <v>#N/A</v>
      </c>
    </row>
    <row r="128" spans="1:21">
      <c r="A128" s="3" t="s">
        <v>550</v>
      </c>
      <c r="B128" s="3">
        <f>Evaluation!B134</f>
        <v>2</v>
      </c>
      <c r="C128" s="3">
        <f>Evaluation!C134</f>
        <v>3</v>
      </c>
      <c r="D128" s="3">
        <f>Evaluation!D134</f>
        <v>2</v>
      </c>
      <c r="E128" s="3">
        <f>Evaluation!E134</f>
        <v>3</v>
      </c>
      <c r="F128" s="3">
        <f>Evaluation!F134</f>
        <v>2</v>
      </c>
      <c r="G128" s="3">
        <f>Evaluation!G134</f>
        <v>3</v>
      </c>
      <c r="H128" s="3">
        <f>Evaluation!H134</f>
        <v>3</v>
      </c>
      <c r="I128" s="3">
        <f>Evaluation!I134</f>
        <v>4</v>
      </c>
      <c r="J128" s="3">
        <f>Evaluation!J134</f>
        <v>1</v>
      </c>
      <c r="K128" s="3">
        <f>Evaluation!K134</f>
        <v>2</v>
      </c>
      <c r="L128" s="3">
        <f>Evaluation!L134</f>
        <v>4</v>
      </c>
      <c r="M128" s="3">
        <f>Evaluation!M134</f>
        <v>3</v>
      </c>
      <c r="N128" s="3">
        <f>Evaluation!N134</f>
        <v>3</v>
      </c>
      <c r="O128" s="3">
        <f>Evaluation!O134</f>
        <v>4</v>
      </c>
      <c r="P128" s="3">
        <f>Evaluation!P134</f>
        <v>4</v>
      </c>
      <c r="Q128" s="3">
        <f>Evaluation!Q134</f>
        <v>4</v>
      </c>
      <c r="R128" s="3">
        <f>Evaluation!R134</f>
        <v>3</v>
      </c>
      <c r="S128" s="3">
        <f>Evaluation!S134</f>
        <v>1</v>
      </c>
      <c r="T128" s="3">
        <f>Evaluation!T134</f>
        <v>2</v>
      </c>
      <c r="U128" s="3">
        <f>Evaluation!U134</f>
        <v>3</v>
      </c>
    </row>
    <row r="129" spans="1:21">
      <c r="A129" s="3" t="s">
        <v>586</v>
      </c>
      <c r="B129" s="3" t="e">
        <f>Evaluation!B135</f>
        <v>#N/A</v>
      </c>
      <c r="C129" s="3" t="e">
        <f>Evaluation!C135</f>
        <v>#N/A</v>
      </c>
      <c r="D129" s="3" t="e">
        <f>Evaluation!D135</f>
        <v>#N/A</v>
      </c>
      <c r="E129" s="3" t="e">
        <f>Evaluation!E135</f>
        <v>#N/A</v>
      </c>
      <c r="F129" s="3" t="e">
        <f>Evaluation!F135</f>
        <v>#N/A</v>
      </c>
      <c r="G129" s="3" t="e">
        <f>Evaluation!G135</f>
        <v>#N/A</v>
      </c>
      <c r="H129" s="3" t="e">
        <f>Evaluation!H135</f>
        <v>#N/A</v>
      </c>
      <c r="I129" s="3" t="e">
        <f>Evaluation!I135</f>
        <v>#N/A</v>
      </c>
      <c r="J129" s="3" t="e">
        <f>Evaluation!J135</f>
        <v>#N/A</v>
      </c>
      <c r="K129" s="3" t="e">
        <f>Evaluation!K135</f>
        <v>#N/A</v>
      </c>
      <c r="L129" s="3" t="e">
        <f>Evaluation!L135</f>
        <v>#N/A</v>
      </c>
      <c r="M129" s="3" t="e">
        <f>Evaluation!M135</f>
        <v>#N/A</v>
      </c>
      <c r="N129" s="3" t="e">
        <f>Evaluation!N135</f>
        <v>#N/A</v>
      </c>
      <c r="O129" s="3" t="e">
        <f>Evaluation!O135</f>
        <v>#N/A</v>
      </c>
      <c r="P129" s="3" t="e">
        <f>Evaluation!P135</f>
        <v>#N/A</v>
      </c>
      <c r="Q129" s="3" t="e">
        <f>Evaluation!Q135</f>
        <v>#N/A</v>
      </c>
      <c r="R129" s="3" t="e">
        <f>Evaluation!R135</f>
        <v>#N/A</v>
      </c>
      <c r="S129" s="3" t="e">
        <f>Evaluation!S135</f>
        <v>#N/A</v>
      </c>
      <c r="T129" s="3" t="e">
        <f>Evaluation!T135</f>
        <v>#N/A</v>
      </c>
      <c r="U129" s="3" t="e">
        <f>Evaluation!U135</f>
        <v>#N/A</v>
      </c>
    </row>
    <row r="130" spans="1:21">
      <c r="A130" s="3" t="s">
        <v>437</v>
      </c>
      <c r="B130" s="3" t="e">
        <f>Evaluation!B136</f>
        <v>#N/A</v>
      </c>
      <c r="C130" s="3" t="e">
        <f>Evaluation!C136</f>
        <v>#N/A</v>
      </c>
      <c r="D130" s="3" t="e">
        <f>Evaluation!D136</f>
        <v>#N/A</v>
      </c>
      <c r="E130" s="3" t="e">
        <f>Evaluation!E136</f>
        <v>#N/A</v>
      </c>
      <c r="F130" s="3" t="e">
        <f>Evaluation!F136</f>
        <v>#N/A</v>
      </c>
      <c r="G130" s="3" t="e">
        <f>Evaluation!G136</f>
        <v>#N/A</v>
      </c>
      <c r="H130" s="3" t="e">
        <f>Evaluation!H136</f>
        <v>#N/A</v>
      </c>
      <c r="I130" s="3" t="e">
        <f>Evaluation!I136</f>
        <v>#N/A</v>
      </c>
      <c r="J130" s="3" t="e">
        <f>Evaluation!J136</f>
        <v>#N/A</v>
      </c>
      <c r="K130" s="3" t="e">
        <f>Evaluation!K136</f>
        <v>#N/A</v>
      </c>
      <c r="L130" s="3" t="e">
        <f>Evaluation!L136</f>
        <v>#N/A</v>
      </c>
      <c r="M130" s="3" t="e">
        <f>Evaluation!M136</f>
        <v>#N/A</v>
      </c>
      <c r="N130" s="3" t="e">
        <f>Evaluation!N136</f>
        <v>#N/A</v>
      </c>
      <c r="O130" s="3" t="e">
        <f>Evaluation!O136</f>
        <v>#N/A</v>
      </c>
      <c r="P130" s="3" t="e">
        <f>Evaluation!P136</f>
        <v>#N/A</v>
      </c>
      <c r="Q130" s="3" t="e">
        <f>Evaluation!Q136</f>
        <v>#N/A</v>
      </c>
      <c r="R130" s="3" t="e">
        <f>Evaluation!R136</f>
        <v>#N/A</v>
      </c>
      <c r="S130" s="3" t="e">
        <f>Evaluation!S136</f>
        <v>#N/A</v>
      </c>
      <c r="T130" s="3" t="e">
        <f>Evaluation!T136</f>
        <v>#N/A</v>
      </c>
      <c r="U130" s="3" t="e">
        <f>Evaluation!U136</f>
        <v>#N/A</v>
      </c>
    </row>
    <row r="131" spans="1:21">
      <c r="A131" s="3" t="s">
        <v>593</v>
      </c>
      <c r="B131" s="3">
        <f>Evaluation!B137</f>
        <v>2</v>
      </c>
      <c r="C131" s="3">
        <f>Evaluation!C137</f>
        <v>2</v>
      </c>
      <c r="D131" s="3">
        <f>Evaluation!D137</f>
        <v>1</v>
      </c>
      <c r="E131" s="3">
        <f>Evaluation!E137</f>
        <v>2</v>
      </c>
      <c r="F131" s="3">
        <f>Evaluation!F137</f>
        <v>2</v>
      </c>
      <c r="G131" s="3">
        <f>Evaluation!G137</f>
        <v>2</v>
      </c>
      <c r="H131" s="3">
        <f>Evaluation!H137</f>
        <v>2</v>
      </c>
      <c r="I131" s="3">
        <f>Evaluation!I137</f>
        <v>1</v>
      </c>
      <c r="J131" s="3">
        <f>Evaluation!J137</f>
        <v>1</v>
      </c>
      <c r="K131" s="3">
        <f>Evaluation!K137</f>
        <v>1</v>
      </c>
      <c r="L131" s="3">
        <f>Evaluation!L137</f>
        <v>3</v>
      </c>
      <c r="M131" s="3">
        <f>Evaluation!M137</f>
        <v>3</v>
      </c>
      <c r="N131" s="3">
        <f>Evaluation!N137</f>
        <v>2</v>
      </c>
      <c r="O131" s="3">
        <f>Evaluation!O137</f>
        <v>3</v>
      </c>
      <c r="P131" s="3">
        <f>Evaluation!P137</f>
        <v>3</v>
      </c>
      <c r="Q131" s="3">
        <f>Evaluation!Q137</f>
        <v>1</v>
      </c>
      <c r="R131" s="3">
        <f>Evaluation!R137</f>
        <v>2</v>
      </c>
      <c r="S131" s="3">
        <f>Evaluation!S137</f>
        <v>1</v>
      </c>
      <c r="T131" s="3">
        <f>Evaluation!T137</f>
        <v>2</v>
      </c>
      <c r="U131" s="3">
        <f>Evaluation!U137</f>
        <v>2</v>
      </c>
    </row>
    <row r="132" spans="1:21">
      <c r="A132" s="3" t="s">
        <v>583</v>
      </c>
      <c r="B132" s="3" t="e">
        <f>Evaluation!B138</f>
        <v>#N/A</v>
      </c>
      <c r="C132" s="3" t="e">
        <f>Evaluation!C138</f>
        <v>#N/A</v>
      </c>
      <c r="D132" s="3" t="e">
        <f>Evaluation!D138</f>
        <v>#N/A</v>
      </c>
      <c r="E132" s="3" t="e">
        <f>Evaluation!E138</f>
        <v>#N/A</v>
      </c>
      <c r="F132" s="3" t="e">
        <f>Evaluation!F138</f>
        <v>#N/A</v>
      </c>
      <c r="G132" s="3" t="e">
        <f>Evaluation!G138</f>
        <v>#N/A</v>
      </c>
      <c r="H132" s="3" t="e">
        <f>Evaluation!H138</f>
        <v>#N/A</v>
      </c>
      <c r="I132" s="3" t="e">
        <f>Evaluation!I138</f>
        <v>#N/A</v>
      </c>
      <c r="J132" s="3" t="e">
        <f>Evaluation!J138</f>
        <v>#N/A</v>
      </c>
      <c r="K132" s="3" t="e">
        <f>Evaluation!K138</f>
        <v>#N/A</v>
      </c>
      <c r="L132" s="3" t="e">
        <f>Evaluation!L138</f>
        <v>#N/A</v>
      </c>
      <c r="M132" s="3" t="e">
        <f>Evaluation!M138</f>
        <v>#N/A</v>
      </c>
      <c r="N132" s="3" t="e">
        <f>Evaluation!N138</f>
        <v>#N/A</v>
      </c>
      <c r="O132" s="3" t="e">
        <f>Evaluation!O138</f>
        <v>#N/A</v>
      </c>
      <c r="P132" s="3" t="e">
        <f>Evaluation!P138</f>
        <v>#N/A</v>
      </c>
      <c r="Q132" s="3" t="e">
        <f>Evaluation!Q138</f>
        <v>#N/A</v>
      </c>
      <c r="R132" s="3" t="e">
        <f>Evaluation!R138</f>
        <v>#N/A</v>
      </c>
      <c r="S132" s="3" t="e">
        <f>Evaluation!S138</f>
        <v>#N/A</v>
      </c>
      <c r="T132" s="3" t="e">
        <f>Evaluation!T138</f>
        <v>#N/A</v>
      </c>
      <c r="U132" s="3" t="e">
        <f>Evaluation!U138</f>
        <v>#N/A</v>
      </c>
    </row>
    <row r="133" spans="1:21">
      <c r="A133" s="3" t="s">
        <v>584</v>
      </c>
      <c r="B133" s="3" t="e">
        <f>Evaluation!B139</f>
        <v>#N/A</v>
      </c>
      <c r="C133" s="3" t="e">
        <f>Evaluation!C139</f>
        <v>#N/A</v>
      </c>
      <c r="D133" s="3" t="e">
        <f>Evaluation!D139</f>
        <v>#N/A</v>
      </c>
      <c r="E133" s="3" t="e">
        <f>Evaluation!E139</f>
        <v>#N/A</v>
      </c>
      <c r="F133" s="3" t="e">
        <f>Evaluation!F139</f>
        <v>#N/A</v>
      </c>
      <c r="G133" s="3" t="e">
        <f>Evaluation!G139</f>
        <v>#N/A</v>
      </c>
      <c r="H133" s="3" t="e">
        <f>Evaluation!H139</f>
        <v>#N/A</v>
      </c>
      <c r="I133" s="3" t="e">
        <f>Evaluation!I139</f>
        <v>#N/A</v>
      </c>
      <c r="J133" s="3" t="e">
        <f>Evaluation!J139</f>
        <v>#N/A</v>
      </c>
      <c r="K133" s="3" t="e">
        <f>Evaluation!K139</f>
        <v>#N/A</v>
      </c>
      <c r="L133" s="3" t="e">
        <f>Evaluation!L139</f>
        <v>#N/A</v>
      </c>
      <c r="M133" s="3" t="e">
        <f>Evaluation!M139</f>
        <v>#N/A</v>
      </c>
      <c r="N133" s="3" t="e">
        <f>Evaluation!N139</f>
        <v>#N/A</v>
      </c>
      <c r="O133" s="3" t="e">
        <f>Evaluation!O139</f>
        <v>#N/A</v>
      </c>
      <c r="P133" s="3" t="e">
        <f>Evaluation!P139</f>
        <v>#N/A</v>
      </c>
      <c r="Q133" s="3" t="e">
        <f>Evaluation!Q139</f>
        <v>#N/A</v>
      </c>
      <c r="R133" s="3" t="e">
        <f>Evaluation!R139</f>
        <v>#N/A</v>
      </c>
      <c r="S133" s="3" t="e">
        <f>Evaluation!S139</f>
        <v>#N/A</v>
      </c>
      <c r="T133" s="3" t="e">
        <f>Evaluation!T139</f>
        <v>#N/A</v>
      </c>
      <c r="U133" s="3" t="e">
        <f>Evaluation!U139</f>
        <v>#N/A</v>
      </c>
    </row>
    <row r="134" spans="1:21">
      <c r="A134" s="3" t="s">
        <v>585</v>
      </c>
      <c r="B134" s="3" t="e">
        <f>Evaluation!B140</f>
        <v>#N/A</v>
      </c>
      <c r="C134" s="3" t="e">
        <f>Evaluation!C140</f>
        <v>#N/A</v>
      </c>
      <c r="D134" s="3" t="e">
        <f>Evaluation!D140</f>
        <v>#N/A</v>
      </c>
      <c r="E134" s="3" t="e">
        <f>Evaluation!E140</f>
        <v>#N/A</v>
      </c>
      <c r="F134" s="3" t="e">
        <f>Evaluation!F140</f>
        <v>#N/A</v>
      </c>
      <c r="G134" s="3" t="e">
        <f>Evaluation!G140</f>
        <v>#N/A</v>
      </c>
      <c r="H134" s="3" t="e">
        <f>Evaluation!H140</f>
        <v>#N/A</v>
      </c>
      <c r="I134" s="3" t="e">
        <f>Evaluation!I140</f>
        <v>#N/A</v>
      </c>
      <c r="J134" s="3" t="e">
        <f>Evaluation!J140</f>
        <v>#N/A</v>
      </c>
      <c r="K134" s="3" t="e">
        <f>Evaluation!K140</f>
        <v>#N/A</v>
      </c>
      <c r="L134" s="3" t="e">
        <f>Evaluation!L140</f>
        <v>#N/A</v>
      </c>
      <c r="M134" s="3" t="e">
        <f>Evaluation!M140</f>
        <v>#N/A</v>
      </c>
      <c r="N134" s="3" t="e">
        <f>Evaluation!N140</f>
        <v>#N/A</v>
      </c>
      <c r="O134" s="3" t="e">
        <f>Evaluation!O140</f>
        <v>#N/A</v>
      </c>
      <c r="P134" s="3" t="e">
        <f>Evaluation!P140</f>
        <v>#N/A</v>
      </c>
      <c r="Q134" s="3" t="e">
        <f>Evaluation!Q140</f>
        <v>#N/A</v>
      </c>
      <c r="R134" s="3" t="e">
        <f>Evaluation!R140</f>
        <v>#N/A</v>
      </c>
      <c r="S134" s="3" t="e">
        <f>Evaluation!S140</f>
        <v>#N/A</v>
      </c>
      <c r="T134" s="3" t="e">
        <f>Evaluation!T140</f>
        <v>#N/A</v>
      </c>
      <c r="U134" s="3" t="e">
        <f>Evaluation!U140</f>
        <v>#N/A</v>
      </c>
    </row>
    <row r="135" spans="1:21">
      <c r="A135" s="3" t="s">
        <v>550</v>
      </c>
      <c r="B135" s="3">
        <f>Evaluation!B141</f>
        <v>2</v>
      </c>
      <c r="C135" s="3">
        <f>Evaluation!C141</f>
        <v>3</v>
      </c>
      <c r="D135" s="3">
        <f>Evaluation!D141</f>
        <v>2</v>
      </c>
      <c r="E135" s="3">
        <f>Evaluation!E141</f>
        <v>3</v>
      </c>
      <c r="F135" s="3">
        <f>Evaluation!F141</f>
        <v>2</v>
      </c>
      <c r="G135" s="3">
        <f>Evaluation!G141</f>
        <v>3</v>
      </c>
      <c r="H135" s="3">
        <f>Evaluation!H141</f>
        <v>3</v>
      </c>
      <c r="I135" s="3">
        <f>Evaluation!I141</f>
        <v>4</v>
      </c>
      <c r="J135" s="3">
        <f>Evaluation!J141</f>
        <v>1</v>
      </c>
      <c r="K135" s="3">
        <f>Evaluation!K141</f>
        <v>2</v>
      </c>
      <c r="L135" s="3">
        <f>Evaluation!L141</f>
        <v>4</v>
      </c>
      <c r="M135" s="3">
        <f>Evaluation!M141</f>
        <v>3</v>
      </c>
      <c r="N135" s="3">
        <f>Evaluation!N141</f>
        <v>3</v>
      </c>
      <c r="O135" s="3">
        <f>Evaluation!O141</f>
        <v>4</v>
      </c>
      <c r="P135" s="3">
        <f>Evaluation!P141</f>
        <v>4</v>
      </c>
      <c r="Q135" s="3">
        <f>Evaluation!Q141</f>
        <v>4</v>
      </c>
      <c r="R135" s="3">
        <f>Evaluation!R141</f>
        <v>3</v>
      </c>
      <c r="S135" s="3">
        <f>Evaluation!S141</f>
        <v>1</v>
      </c>
      <c r="T135" s="3">
        <f>Evaluation!T141</f>
        <v>2</v>
      </c>
      <c r="U135" s="3">
        <f>Evaluation!U141</f>
        <v>3</v>
      </c>
    </row>
    <row r="136" spans="1:21">
      <c r="A136" s="3" t="s">
        <v>586</v>
      </c>
      <c r="B136" s="3" t="e">
        <f>Evaluation!B142</f>
        <v>#N/A</v>
      </c>
      <c r="C136" s="3" t="e">
        <f>Evaluation!C142</f>
        <v>#N/A</v>
      </c>
      <c r="D136" s="3" t="e">
        <f>Evaluation!D142</f>
        <v>#N/A</v>
      </c>
      <c r="E136" s="3" t="e">
        <f>Evaluation!E142</f>
        <v>#N/A</v>
      </c>
      <c r="F136" s="3" t="e">
        <f>Evaluation!F142</f>
        <v>#N/A</v>
      </c>
      <c r="G136" s="3" t="e">
        <f>Evaluation!G142</f>
        <v>#N/A</v>
      </c>
      <c r="H136" s="3" t="e">
        <f>Evaluation!H142</f>
        <v>#N/A</v>
      </c>
      <c r="I136" s="3" t="e">
        <f>Evaluation!I142</f>
        <v>#N/A</v>
      </c>
      <c r="J136" s="3" t="e">
        <f>Evaluation!J142</f>
        <v>#N/A</v>
      </c>
      <c r="K136" s="3" t="e">
        <f>Evaluation!K142</f>
        <v>#N/A</v>
      </c>
      <c r="L136" s="3" t="e">
        <f>Evaluation!L142</f>
        <v>#N/A</v>
      </c>
      <c r="M136" s="3" t="e">
        <f>Evaluation!M142</f>
        <v>#N/A</v>
      </c>
      <c r="N136" s="3" t="e">
        <f>Evaluation!N142</f>
        <v>#N/A</v>
      </c>
      <c r="O136" s="3" t="e">
        <f>Evaluation!O142</f>
        <v>#N/A</v>
      </c>
      <c r="P136" s="3" t="e">
        <f>Evaluation!P142</f>
        <v>#N/A</v>
      </c>
      <c r="Q136" s="3" t="e">
        <f>Evaluation!Q142</f>
        <v>#N/A</v>
      </c>
      <c r="R136" s="3" t="e">
        <f>Evaluation!R142</f>
        <v>#N/A</v>
      </c>
      <c r="S136" s="3" t="e">
        <f>Evaluation!S142</f>
        <v>#N/A</v>
      </c>
      <c r="T136" s="3" t="e">
        <f>Evaluation!T142</f>
        <v>#N/A</v>
      </c>
      <c r="U136" s="3" t="e">
        <f>Evaluation!U142</f>
        <v>#N/A</v>
      </c>
    </row>
    <row r="137" spans="1:21">
      <c r="A137" s="3" t="s">
        <v>596</v>
      </c>
      <c r="B137" s="3">
        <f>Evaluation!B143</f>
        <v>1</v>
      </c>
      <c r="C137" s="3">
        <f>Evaluation!C143</f>
        <v>1</v>
      </c>
      <c r="D137" s="3">
        <f>Evaluation!D143</f>
        <v>1</v>
      </c>
      <c r="E137" s="3">
        <f>Evaluation!E143</f>
        <v>2</v>
      </c>
      <c r="F137" s="3">
        <f>Evaluation!F143</f>
        <v>2</v>
      </c>
      <c r="G137" s="3">
        <f>Evaluation!G143</f>
        <v>1</v>
      </c>
      <c r="H137" s="3">
        <f>Evaluation!H143</f>
        <v>2</v>
      </c>
      <c r="I137" s="3">
        <f>Evaluation!I143</f>
        <v>1</v>
      </c>
      <c r="J137" s="3">
        <f>Evaluation!J143</f>
        <v>1</v>
      </c>
      <c r="K137" s="3">
        <f>Evaluation!K143</f>
        <v>2</v>
      </c>
      <c r="L137" s="3">
        <f>Evaluation!L143</f>
        <v>1</v>
      </c>
      <c r="M137" s="3">
        <f>Evaluation!M143</f>
        <v>1</v>
      </c>
      <c r="N137" s="3">
        <f>Evaluation!N143</f>
        <v>2</v>
      </c>
      <c r="O137" s="3">
        <f>Evaluation!O143</f>
        <v>1</v>
      </c>
      <c r="P137" s="3">
        <f>Evaluation!P143</f>
        <v>1</v>
      </c>
      <c r="Q137" s="3">
        <f>Evaluation!Q143</f>
        <v>2</v>
      </c>
      <c r="R137" s="3">
        <f>Evaluation!R143</f>
        <v>2</v>
      </c>
      <c r="S137" s="3">
        <f>Evaluation!S143</f>
        <v>2</v>
      </c>
      <c r="T137" s="3">
        <f>Evaluation!T143</f>
        <v>2</v>
      </c>
      <c r="U137" s="3">
        <f>Evaluation!U143</f>
        <v>2</v>
      </c>
    </row>
    <row r="138" spans="1:21">
      <c r="A138" s="3" t="s">
        <v>72</v>
      </c>
      <c r="B138" s="3" t="e">
        <f>Evaluation!B145</f>
        <v>#N/A</v>
      </c>
      <c r="C138" s="3" t="e">
        <f>Evaluation!C145</f>
        <v>#N/A</v>
      </c>
      <c r="D138" s="3" t="e">
        <f>Evaluation!D145</f>
        <v>#N/A</v>
      </c>
      <c r="E138" s="3" t="e">
        <f>Evaluation!E145</f>
        <v>#N/A</v>
      </c>
      <c r="F138" s="3" t="e">
        <f>Evaluation!F145</f>
        <v>#N/A</v>
      </c>
      <c r="G138" s="3" t="e">
        <f>Evaluation!G145</f>
        <v>#N/A</v>
      </c>
      <c r="H138" s="3" t="e">
        <f>Evaluation!H145</f>
        <v>#N/A</v>
      </c>
      <c r="I138" s="3" t="e">
        <f>Evaluation!I145</f>
        <v>#N/A</v>
      </c>
      <c r="J138" s="3" t="e">
        <f>Evaluation!J145</f>
        <v>#N/A</v>
      </c>
      <c r="K138" s="3" t="e">
        <f>Evaluation!K145</f>
        <v>#N/A</v>
      </c>
      <c r="L138" s="3" t="e">
        <f>Evaluation!L145</f>
        <v>#N/A</v>
      </c>
      <c r="M138" s="3" t="e">
        <f>Evaluation!M145</f>
        <v>#N/A</v>
      </c>
      <c r="N138" s="3" t="e">
        <f>Evaluation!N145</f>
        <v>#N/A</v>
      </c>
      <c r="O138" s="3" t="e">
        <f>Evaluation!O145</f>
        <v>#N/A</v>
      </c>
      <c r="P138" s="3" t="e">
        <f>Evaluation!P145</f>
        <v>#N/A</v>
      </c>
      <c r="Q138" s="3" t="e">
        <f>Evaluation!Q145</f>
        <v>#N/A</v>
      </c>
      <c r="R138" s="3" t="e">
        <f>Evaluation!R145</f>
        <v>#N/A</v>
      </c>
      <c r="S138" s="3" t="e">
        <f>Evaluation!S145</f>
        <v>#N/A</v>
      </c>
      <c r="T138" s="3" t="e">
        <f>Evaluation!T145</f>
        <v>#N/A</v>
      </c>
      <c r="U138" s="3" t="e">
        <f>Evaluation!U145</f>
        <v>#N/A</v>
      </c>
    </row>
    <row r="139" spans="1:21">
      <c r="A139" s="3" t="s">
        <v>597</v>
      </c>
      <c r="B139" s="3">
        <f>Evaluation!B146</f>
        <v>2</v>
      </c>
      <c r="C139" s="3">
        <f>Evaluation!C146</f>
        <v>3</v>
      </c>
      <c r="D139" s="3">
        <f>Evaluation!D146</f>
        <v>3</v>
      </c>
      <c r="E139" s="3">
        <f>Evaluation!E146</f>
        <v>1</v>
      </c>
      <c r="F139" s="3">
        <f>Evaluation!F146</f>
        <v>2</v>
      </c>
      <c r="G139" s="3">
        <f>Evaluation!G146</f>
        <v>2</v>
      </c>
      <c r="H139" s="3">
        <f>Evaluation!H146</f>
        <v>1</v>
      </c>
      <c r="I139" s="3">
        <f>Evaluation!I146</f>
        <v>3</v>
      </c>
      <c r="J139" s="3">
        <f>Evaluation!J146</f>
        <v>2</v>
      </c>
      <c r="K139" s="3">
        <f>Evaluation!K146</f>
        <v>3</v>
      </c>
      <c r="L139" s="3">
        <f>Evaluation!L146</f>
        <v>4</v>
      </c>
      <c r="M139" s="3">
        <f>Evaluation!M146</f>
        <v>4</v>
      </c>
      <c r="N139" s="3">
        <f>Evaluation!N146</f>
        <v>2</v>
      </c>
      <c r="O139" s="3">
        <f>Evaluation!O146</f>
        <v>3</v>
      </c>
      <c r="P139" s="3">
        <f>Evaluation!P146</f>
        <v>4</v>
      </c>
      <c r="Q139" s="3">
        <f>Evaluation!Q146</f>
        <v>4</v>
      </c>
      <c r="R139" s="3">
        <f>Evaluation!R146</f>
        <v>2</v>
      </c>
      <c r="S139" s="3">
        <f>Evaluation!S146</f>
        <v>1</v>
      </c>
      <c r="T139" s="3">
        <f>Evaluation!T146</f>
        <v>2</v>
      </c>
      <c r="U139" s="3">
        <f>Evaluation!U146</f>
        <v>3</v>
      </c>
    </row>
    <row r="140" spans="1:21">
      <c r="A140" s="3" t="s">
        <v>598</v>
      </c>
      <c r="B140" s="3">
        <f>Evaluation!B147</f>
        <v>1</v>
      </c>
      <c r="C140" s="3">
        <f>Evaluation!C147</f>
        <v>2</v>
      </c>
      <c r="D140" s="3">
        <f>Evaluation!D147</f>
        <v>2</v>
      </c>
      <c r="E140" s="3">
        <f>Evaluation!E147</f>
        <v>1</v>
      </c>
      <c r="F140" s="3">
        <f>Evaluation!F147</f>
        <v>1</v>
      </c>
      <c r="G140" s="3">
        <f>Evaluation!G147</f>
        <v>1</v>
      </c>
      <c r="H140" s="3">
        <f>Evaluation!H147</f>
        <v>1</v>
      </c>
      <c r="I140" s="3">
        <f>Evaluation!I147</f>
        <v>2</v>
      </c>
      <c r="J140" s="3">
        <f>Evaluation!J147</f>
        <v>1</v>
      </c>
      <c r="K140" s="3">
        <f>Evaluation!K147</f>
        <v>1</v>
      </c>
      <c r="L140" s="3">
        <f>Evaluation!L147</f>
        <v>1</v>
      </c>
      <c r="M140" s="3">
        <f>Evaluation!M147</f>
        <v>1</v>
      </c>
      <c r="N140" s="3">
        <f>Evaluation!N147</f>
        <v>1</v>
      </c>
      <c r="O140" s="3">
        <f>Evaluation!O147</f>
        <v>1</v>
      </c>
      <c r="P140" s="3">
        <f>Evaluation!P147</f>
        <v>2</v>
      </c>
      <c r="Q140" s="3">
        <f>Evaluation!Q147</f>
        <v>2</v>
      </c>
      <c r="R140" s="3">
        <f>Evaluation!R147</f>
        <v>1</v>
      </c>
      <c r="S140" s="3">
        <f>Evaluation!S147</f>
        <v>2</v>
      </c>
      <c r="T140" s="3">
        <f>Evaluation!T147</f>
        <v>1</v>
      </c>
      <c r="U140" s="3">
        <f>Evaluation!U147</f>
        <v>1</v>
      </c>
    </row>
    <row r="141" spans="1:21">
      <c r="A141" s="3" t="s">
        <v>599</v>
      </c>
      <c r="B141" s="3">
        <f>Evaluation!B148</f>
        <v>4</v>
      </c>
      <c r="C141" s="3">
        <f>Evaluation!C148</f>
        <v>4</v>
      </c>
      <c r="D141" s="3">
        <f>Evaluation!D148</f>
        <v>3</v>
      </c>
      <c r="E141" s="3">
        <f>Evaluation!E148</f>
        <v>2</v>
      </c>
      <c r="F141" s="3">
        <f>Evaluation!F148</f>
        <v>4</v>
      </c>
      <c r="G141" s="3">
        <f>Evaluation!G148</f>
        <v>3</v>
      </c>
      <c r="H141" s="3">
        <f>Evaluation!H148</f>
        <v>2</v>
      </c>
      <c r="I141" s="3">
        <f>Evaluation!I148</f>
        <v>2</v>
      </c>
      <c r="J141" s="3">
        <f>Evaluation!J148</f>
        <v>3</v>
      </c>
      <c r="K141" s="3">
        <f>Evaluation!K148</f>
        <v>4</v>
      </c>
      <c r="L141" s="3">
        <f>Evaluation!L148</f>
        <v>4</v>
      </c>
      <c r="M141" s="3">
        <f>Evaluation!M148</f>
        <v>4</v>
      </c>
      <c r="N141" s="3">
        <f>Evaluation!N148</f>
        <v>3</v>
      </c>
      <c r="O141" s="3">
        <f>Evaluation!O148</f>
        <v>3</v>
      </c>
      <c r="P141" s="3">
        <f>Evaluation!P148</f>
        <v>3</v>
      </c>
      <c r="Q141" s="3">
        <f>Evaluation!Q148</f>
        <v>4</v>
      </c>
      <c r="R141" s="3">
        <f>Evaluation!R148</f>
        <v>3</v>
      </c>
      <c r="S141" s="3">
        <f>Evaluation!S148</f>
        <v>1</v>
      </c>
      <c r="T141" s="3">
        <f>Evaluation!T148</f>
        <v>3</v>
      </c>
      <c r="U141" s="3">
        <f>Evaluation!U148</f>
        <v>3</v>
      </c>
    </row>
    <row r="142" spans="1:21">
      <c r="A142" s="3" t="s">
        <v>303</v>
      </c>
      <c r="B142" s="3">
        <f>Evaluation!B149</f>
        <v>3</v>
      </c>
      <c r="C142" s="3">
        <f>Evaluation!C149</f>
        <v>3</v>
      </c>
      <c r="D142" s="3">
        <f>Evaluation!D149</f>
        <v>2</v>
      </c>
      <c r="E142" s="3">
        <f>Evaluation!E149</f>
        <v>2</v>
      </c>
      <c r="F142" s="3">
        <f>Evaluation!F149</f>
        <v>3</v>
      </c>
      <c r="G142" s="3">
        <f>Evaluation!G149</f>
        <v>2</v>
      </c>
      <c r="H142" s="3">
        <f>Evaluation!H149</f>
        <v>1</v>
      </c>
      <c r="I142" s="3">
        <f>Evaluation!I149</f>
        <v>2</v>
      </c>
      <c r="J142" s="3">
        <f>Evaluation!J149</f>
        <v>2</v>
      </c>
      <c r="K142" s="3">
        <f>Evaluation!K149</f>
        <v>3</v>
      </c>
      <c r="L142" s="3">
        <f>Evaluation!L149</f>
        <v>3</v>
      </c>
      <c r="M142" s="3">
        <f>Evaluation!M149</f>
        <v>3</v>
      </c>
      <c r="N142" s="3">
        <f>Evaluation!N149</f>
        <v>2</v>
      </c>
      <c r="O142" s="3">
        <f>Evaluation!O149</f>
        <v>2</v>
      </c>
      <c r="P142" s="3">
        <f>Evaluation!P149</f>
        <v>2</v>
      </c>
      <c r="Q142" s="3">
        <f>Evaluation!Q149</f>
        <v>3</v>
      </c>
      <c r="R142" s="3">
        <f>Evaluation!R149</f>
        <v>2</v>
      </c>
      <c r="S142" s="3">
        <f>Evaluation!S149</f>
        <v>1</v>
      </c>
      <c r="T142" s="3">
        <f>Evaluation!T149</f>
        <v>2</v>
      </c>
      <c r="U142" s="3">
        <f>Evaluation!U149</f>
        <v>2</v>
      </c>
    </row>
    <row r="143" spans="1:21">
      <c r="A143" s="3" t="s">
        <v>600</v>
      </c>
      <c r="B143" s="3">
        <f>Evaluation!B150</f>
        <v>2</v>
      </c>
      <c r="C143" s="3">
        <f>Evaluation!C150</f>
        <v>3</v>
      </c>
      <c r="D143" s="3">
        <f>Evaluation!D150</f>
        <v>3</v>
      </c>
      <c r="E143" s="3">
        <f>Evaluation!E150</f>
        <v>2</v>
      </c>
      <c r="F143" s="3">
        <f>Evaluation!F150</f>
        <v>2</v>
      </c>
      <c r="G143" s="3">
        <f>Evaluation!G150</f>
        <v>2</v>
      </c>
      <c r="H143" s="3">
        <f>Evaluation!H150</f>
        <v>3</v>
      </c>
      <c r="I143" s="3">
        <f>Evaluation!I150</f>
        <v>2</v>
      </c>
      <c r="J143" s="3">
        <f>Evaluation!J150</f>
        <v>2</v>
      </c>
      <c r="K143" s="3">
        <f>Evaluation!K150</f>
        <v>3</v>
      </c>
      <c r="L143" s="3">
        <f>Evaluation!L150</f>
        <v>2</v>
      </c>
      <c r="M143" s="3">
        <f>Evaluation!M150</f>
        <v>3</v>
      </c>
      <c r="N143" s="3">
        <f>Evaluation!N150</f>
        <v>2</v>
      </c>
      <c r="O143" s="3">
        <f>Evaluation!O150</f>
        <v>2</v>
      </c>
      <c r="P143" s="3">
        <f>Evaluation!P150</f>
        <v>3</v>
      </c>
      <c r="Q143" s="3">
        <f>Evaluation!Q150</f>
        <v>2</v>
      </c>
      <c r="R143" s="3">
        <f>Evaluation!R150</f>
        <v>2</v>
      </c>
      <c r="S143" s="3">
        <f>Evaluation!S150</f>
        <v>1</v>
      </c>
      <c r="T143" s="3">
        <f>Evaluation!T150</f>
        <v>2</v>
      </c>
      <c r="U143" s="3">
        <f>Evaluation!U150</f>
        <v>3</v>
      </c>
    </row>
    <row r="144" spans="1:21">
      <c r="A144" s="3" t="s">
        <v>601</v>
      </c>
      <c r="B144" s="3">
        <f>Evaluation!B151</f>
        <v>3</v>
      </c>
      <c r="C144" s="3">
        <f>Evaluation!C151</f>
        <v>3</v>
      </c>
      <c r="D144" s="3">
        <f>Evaluation!D151</f>
        <v>2</v>
      </c>
      <c r="E144" s="3">
        <f>Evaluation!E151</f>
        <v>1</v>
      </c>
      <c r="F144" s="3">
        <f>Evaluation!F151</f>
        <v>3</v>
      </c>
      <c r="G144" s="3">
        <f>Evaluation!G151</f>
        <v>2</v>
      </c>
      <c r="H144" s="3">
        <f>Evaluation!H151</f>
        <v>1</v>
      </c>
      <c r="I144" s="3">
        <f>Evaluation!I151</f>
        <v>1</v>
      </c>
      <c r="J144" s="3">
        <f>Evaluation!J151</f>
        <v>2</v>
      </c>
      <c r="K144" s="3">
        <f>Evaluation!K151</f>
        <v>3</v>
      </c>
      <c r="L144" s="3">
        <f>Evaluation!L151</f>
        <v>3</v>
      </c>
      <c r="M144" s="3">
        <f>Evaluation!M151</f>
        <v>3</v>
      </c>
      <c r="N144" s="3">
        <f>Evaluation!N151</f>
        <v>3</v>
      </c>
      <c r="O144" s="3">
        <f>Evaluation!O151</f>
        <v>3</v>
      </c>
      <c r="P144" s="3">
        <f>Evaluation!P151</f>
        <v>2</v>
      </c>
      <c r="Q144" s="3">
        <f>Evaluation!Q151</f>
        <v>3</v>
      </c>
      <c r="R144" s="3">
        <f>Evaluation!R151</f>
        <v>2</v>
      </c>
      <c r="S144" s="3">
        <f>Evaluation!S151</f>
        <v>1</v>
      </c>
      <c r="T144" s="3">
        <f>Evaluation!T151</f>
        <v>2</v>
      </c>
      <c r="U144" s="3">
        <f>Evaluation!U151</f>
        <v>2</v>
      </c>
    </row>
    <row r="145" spans="1:21">
      <c r="A145" s="3" t="s">
        <v>602</v>
      </c>
      <c r="B145" s="3">
        <f>Evaluation!B152</f>
        <v>2</v>
      </c>
      <c r="C145" s="3">
        <f>Evaluation!C152</f>
        <v>2</v>
      </c>
      <c r="D145" s="3">
        <f>Evaluation!D152</f>
        <v>2</v>
      </c>
      <c r="E145" s="3">
        <f>Evaluation!E152</f>
        <v>1</v>
      </c>
      <c r="F145" s="3">
        <f>Evaluation!F152</f>
        <v>2</v>
      </c>
      <c r="G145" s="3">
        <f>Evaluation!G152</f>
        <v>2</v>
      </c>
      <c r="H145" s="3">
        <f>Evaluation!H152</f>
        <v>2</v>
      </c>
      <c r="I145" s="3">
        <f>Evaluation!I152</f>
        <v>3</v>
      </c>
      <c r="J145" s="3">
        <f>Evaluation!J152</f>
        <v>2</v>
      </c>
      <c r="K145" s="3">
        <f>Evaluation!K152</f>
        <v>3</v>
      </c>
      <c r="L145" s="3">
        <f>Evaluation!L152</f>
        <v>4</v>
      </c>
      <c r="M145" s="3">
        <f>Evaluation!M152</f>
        <v>4</v>
      </c>
      <c r="N145" s="3">
        <f>Evaluation!N152</f>
        <v>2</v>
      </c>
      <c r="O145" s="3">
        <f>Evaluation!O152</f>
        <v>3</v>
      </c>
      <c r="P145" s="3">
        <f>Evaluation!P152</f>
        <v>3</v>
      </c>
      <c r="Q145" s="3">
        <f>Evaluation!Q152</f>
        <v>4</v>
      </c>
      <c r="R145" s="3">
        <f>Evaluation!R152</f>
        <v>2</v>
      </c>
      <c r="S145" s="3">
        <f>Evaluation!S152</f>
        <v>1</v>
      </c>
      <c r="T145" s="3">
        <f>Evaluation!T152</f>
        <v>1</v>
      </c>
      <c r="U145" s="3">
        <f>Evaluation!U152</f>
        <v>3</v>
      </c>
    </row>
    <row r="146" spans="1:21">
      <c r="A146" s="3" t="s">
        <v>603</v>
      </c>
      <c r="B146" s="3">
        <f>Evaluation!B153</f>
        <v>1</v>
      </c>
      <c r="C146" s="3">
        <f>Evaluation!C153</f>
        <v>1</v>
      </c>
      <c r="D146" s="3">
        <f>Evaluation!D153</f>
        <v>1</v>
      </c>
      <c r="E146" s="3">
        <f>Evaluation!E153</f>
        <v>1</v>
      </c>
      <c r="F146" s="3">
        <f>Evaluation!F153</f>
        <v>2</v>
      </c>
      <c r="G146" s="3">
        <f>Evaluation!G153</f>
        <v>2</v>
      </c>
      <c r="H146" s="3">
        <f>Evaluation!H153</f>
        <v>1</v>
      </c>
      <c r="I146" s="3">
        <f>Evaluation!I153</f>
        <v>2</v>
      </c>
      <c r="J146" s="3">
        <f>Evaluation!J153</f>
        <v>2</v>
      </c>
      <c r="K146" s="3">
        <f>Evaluation!K153</f>
        <v>2</v>
      </c>
      <c r="L146" s="3">
        <f>Evaluation!L153</f>
        <v>3</v>
      </c>
      <c r="M146" s="3">
        <f>Evaluation!M153</f>
        <v>3</v>
      </c>
      <c r="N146" s="3">
        <f>Evaluation!N153</f>
        <v>2</v>
      </c>
      <c r="O146" s="3">
        <f>Evaluation!O153</f>
        <v>3</v>
      </c>
      <c r="P146" s="3">
        <f>Evaluation!P153</f>
        <v>2</v>
      </c>
      <c r="Q146" s="3">
        <f>Evaluation!Q153</f>
        <v>3</v>
      </c>
      <c r="R146" s="3">
        <f>Evaluation!R153</f>
        <v>2</v>
      </c>
      <c r="S146" s="3">
        <f>Evaluation!S153</f>
        <v>1</v>
      </c>
      <c r="T146" s="3">
        <f>Evaluation!T153</f>
        <v>1</v>
      </c>
      <c r="U146" s="3">
        <f>Evaluation!U153</f>
        <v>2</v>
      </c>
    </row>
    <row r="147" spans="1:21">
      <c r="A147" s="3" t="s">
        <v>548</v>
      </c>
      <c r="B147" s="3">
        <f>Evaluation!B154</f>
        <v>2</v>
      </c>
      <c r="C147" s="3">
        <f>Evaluation!C154</f>
        <v>2</v>
      </c>
      <c r="D147" s="3">
        <f>Evaluation!D154</f>
        <v>2</v>
      </c>
      <c r="E147" s="3">
        <f>Evaluation!E154</f>
        <v>1</v>
      </c>
      <c r="F147" s="3">
        <f>Evaluation!F154</f>
        <v>1</v>
      </c>
      <c r="G147" s="3">
        <f>Evaluation!G154</f>
        <v>1</v>
      </c>
      <c r="H147" s="3">
        <f>Evaluation!H154</f>
        <v>1</v>
      </c>
      <c r="I147" s="3">
        <f>Evaluation!I154</f>
        <v>2</v>
      </c>
      <c r="J147" s="3">
        <f>Evaluation!J154</f>
        <v>1</v>
      </c>
      <c r="K147" s="3">
        <f>Evaluation!K154</f>
        <v>2</v>
      </c>
      <c r="L147" s="3">
        <f>Evaluation!L154</f>
        <v>2</v>
      </c>
      <c r="M147" s="3">
        <f>Evaluation!M154</f>
        <v>2</v>
      </c>
      <c r="N147" s="3">
        <f>Evaluation!N154</f>
        <v>1</v>
      </c>
      <c r="O147" s="3">
        <f>Evaluation!O154</f>
        <v>1</v>
      </c>
      <c r="P147" s="3">
        <f>Evaluation!P154</f>
        <v>2</v>
      </c>
      <c r="Q147" s="3">
        <f>Evaluation!Q154</f>
        <v>2</v>
      </c>
      <c r="R147" s="3">
        <f>Evaluation!R154</f>
        <v>1</v>
      </c>
      <c r="S147" s="3">
        <f>Evaluation!S154</f>
        <v>1</v>
      </c>
      <c r="T147" s="3">
        <f>Evaluation!T154</f>
        <v>1</v>
      </c>
      <c r="U147" s="3">
        <f>Evaluation!U154</f>
        <v>1</v>
      </c>
    </row>
    <row r="148" spans="1:21">
      <c r="A148" s="3" t="s">
        <v>600</v>
      </c>
      <c r="B148" s="3">
        <f>Evaluation!B155</f>
        <v>2</v>
      </c>
      <c r="C148" s="3">
        <f>Evaluation!C155</f>
        <v>3</v>
      </c>
      <c r="D148" s="3">
        <f>Evaluation!D155</f>
        <v>3</v>
      </c>
      <c r="E148" s="3">
        <f>Evaluation!E155</f>
        <v>2</v>
      </c>
      <c r="F148" s="3">
        <f>Evaluation!F155</f>
        <v>2</v>
      </c>
      <c r="G148" s="3">
        <f>Evaluation!G155</f>
        <v>2</v>
      </c>
      <c r="H148" s="3">
        <f>Evaluation!H155</f>
        <v>3</v>
      </c>
      <c r="I148" s="3">
        <f>Evaluation!I155</f>
        <v>2</v>
      </c>
      <c r="J148" s="3">
        <f>Evaluation!J155</f>
        <v>2</v>
      </c>
      <c r="K148" s="3">
        <f>Evaluation!K155</f>
        <v>3</v>
      </c>
      <c r="L148" s="3">
        <f>Evaluation!L155</f>
        <v>2</v>
      </c>
      <c r="M148" s="3">
        <f>Evaluation!M155</f>
        <v>3</v>
      </c>
      <c r="N148" s="3">
        <f>Evaluation!N155</f>
        <v>2</v>
      </c>
      <c r="O148" s="3">
        <f>Evaluation!O155</f>
        <v>2</v>
      </c>
      <c r="P148" s="3">
        <f>Evaluation!P155</f>
        <v>3</v>
      </c>
      <c r="Q148" s="3">
        <f>Evaluation!Q155</f>
        <v>2</v>
      </c>
      <c r="R148" s="3">
        <f>Evaluation!R155</f>
        <v>2</v>
      </c>
      <c r="S148" s="3">
        <f>Evaluation!S155</f>
        <v>1</v>
      </c>
      <c r="T148" s="3">
        <f>Evaluation!T155</f>
        <v>2</v>
      </c>
      <c r="U148" s="3">
        <f>Evaluation!U155</f>
        <v>3</v>
      </c>
    </row>
    <row r="149" spans="1:21">
      <c r="A149" s="3" t="s">
        <v>575</v>
      </c>
      <c r="B149" s="3" t="e">
        <f>Evaluation!B156</f>
        <v>#N/A</v>
      </c>
      <c r="C149" s="3" t="e">
        <f>Evaluation!C156</f>
        <v>#N/A</v>
      </c>
      <c r="D149" s="3" t="e">
        <f>Evaluation!D156</f>
        <v>#N/A</v>
      </c>
      <c r="E149" s="3" t="e">
        <f>Evaluation!E156</f>
        <v>#N/A</v>
      </c>
      <c r="F149" s="3" t="e">
        <f>Evaluation!F156</f>
        <v>#N/A</v>
      </c>
      <c r="G149" s="3" t="e">
        <f>Evaluation!G156</f>
        <v>#N/A</v>
      </c>
      <c r="H149" s="3" t="e">
        <f>Evaluation!H156</f>
        <v>#N/A</v>
      </c>
      <c r="I149" s="3" t="e">
        <f>Evaluation!I156</f>
        <v>#N/A</v>
      </c>
      <c r="J149" s="3" t="e">
        <f>Evaluation!J156</f>
        <v>#N/A</v>
      </c>
      <c r="K149" s="3" t="e">
        <f>Evaluation!K156</f>
        <v>#N/A</v>
      </c>
      <c r="L149" s="3" t="e">
        <f>Evaluation!L156</f>
        <v>#N/A</v>
      </c>
      <c r="M149" s="3" t="e">
        <f>Evaluation!M156</f>
        <v>#N/A</v>
      </c>
      <c r="N149" s="3" t="e">
        <f>Evaluation!N156</f>
        <v>#N/A</v>
      </c>
      <c r="O149" s="3" t="e">
        <f>Evaluation!O156</f>
        <v>#N/A</v>
      </c>
      <c r="P149" s="3" t="e">
        <f>Evaluation!P156</f>
        <v>#N/A</v>
      </c>
      <c r="Q149" s="3" t="e">
        <f>Evaluation!Q156</f>
        <v>#N/A</v>
      </c>
      <c r="R149" s="3" t="e">
        <f>Evaluation!R156</f>
        <v>#N/A</v>
      </c>
      <c r="S149" s="3" t="e">
        <f>Evaluation!S156</f>
        <v>#N/A</v>
      </c>
      <c r="T149" s="3" t="e">
        <f>Evaluation!T156</f>
        <v>#N/A</v>
      </c>
      <c r="U149" s="3" t="e">
        <f>Evaluation!U156</f>
        <v>#N/A</v>
      </c>
    </row>
    <row r="150" spans="1:21">
      <c r="A150" s="3" t="s">
        <v>604</v>
      </c>
      <c r="B150" s="3">
        <f>Evaluation!B157</f>
        <v>1</v>
      </c>
      <c r="C150" s="3">
        <f>Evaluation!C157</f>
        <v>1</v>
      </c>
      <c r="D150" s="3">
        <f>Evaluation!D157</f>
        <v>1</v>
      </c>
      <c r="E150" s="3">
        <f>Evaluation!E157</f>
        <v>1</v>
      </c>
      <c r="F150" s="3">
        <f>Evaluation!F157</f>
        <v>1</v>
      </c>
      <c r="G150" s="3">
        <f>Evaluation!G157</f>
        <v>1</v>
      </c>
      <c r="H150" s="3">
        <f>Evaluation!H157</f>
        <v>1</v>
      </c>
      <c r="I150" s="3">
        <f>Evaluation!I157</f>
        <v>1</v>
      </c>
      <c r="J150" s="3">
        <f>Evaluation!J157</f>
        <v>1</v>
      </c>
      <c r="K150" s="3">
        <f>Evaluation!K157</f>
        <v>1</v>
      </c>
      <c r="L150" s="3">
        <f>Evaluation!L157</f>
        <v>1</v>
      </c>
      <c r="M150" s="3">
        <f>Evaluation!M157</f>
        <v>1</v>
      </c>
      <c r="N150" s="3">
        <f>Evaluation!N157</f>
        <v>2</v>
      </c>
      <c r="O150" s="3">
        <f>Evaluation!O157</f>
        <v>2</v>
      </c>
      <c r="P150" s="3">
        <f>Evaluation!P157</f>
        <v>1</v>
      </c>
      <c r="Q150" s="3">
        <f>Evaluation!Q157</f>
        <v>1</v>
      </c>
      <c r="R150" s="3">
        <f>Evaluation!R157</f>
        <v>1</v>
      </c>
      <c r="S150" s="3">
        <f>Evaluation!S157</f>
        <v>1</v>
      </c>
      <c r="T150" s="3">
        <f>Evaluation!T157</f>
        <v>1</v>
      </c>
      <c r="U150" s="3">
        <f>Evaluation!U157</f>
        <v>1</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enableFormatConditionsCalculation="0"/>
  <dimension ref="A1:Q48"/>
  <sheetViews>
    <sheetView workbookViewId="0">
      <selection activeCell="H23" sqref="H23"/>
    </sheetView>
  </sheetViews>
  <sheetFormatPr baseColWidth="10" defaultRowHeight="14" x14ac:dyDescent="0"/>
  <cols>
    <col min="1" max="1" width="29" customWidth="1"/>
    <col min="2" max="2" width="29" style="1" customWidth="1"/>
    <col min="3" max="3" width="21.1640625" customWidth="1"/>
    <col min="4" max="4" width="21.6640625" customWidth="1"/>
    <col min="5" max="5" width="23.1640625" customWidth="1"/>
    <col min="6" max="6" width="23.6640625" customWidth="1"/>
    <col min="7" max="7" width="25" customWidth="1"/>
    <col min="8" max="8" width="12.83203125" bestFit="1" customWidth="1"/>
    <col min="10" max="10" width="26.1640625" bestFit="1" customWidth="1"/>
    <col min="11" max="11" width="21.83203125" bestFit="1" customWidth="1"/>
  </cols>
  <sheetData>
    <row r="1" spans="1:17" ht="21" thickBot="1">
      <c r="A1" s="167" t="s">
        <v>657</v>
      </c>
      <c r="Q1" s="1"/>
    </row>
    <row r="2" spans="1:17" ht="26" customHeight="1" thickBot="1">
      <c r="A2" t="s">
        <v>656</v>
      </c>
      <c r="B2">
        <f>SUM(Resultats!W3:W28)</f>
        <v>0</v>
      </c>
      <c r="J2" s="742" t="s">
        <v>726</v>
      </c>
      <c r="K2" s="743"/>
      <c r="L2" s="743"/>
      <c r="M2" s="744"/>
      <c r="Q2" s="1"/>
    </row>
    <row r="3" spans="1:17" s="202" customFormat="1" ht="30">
      <c r="A3" s="740" t="s">
        <v>643</v>
      </c>
      <c r="B3" s="741"/>
      <c r="C3" s="203" t="s">
        <v>29</v>
      </c>
      <c r="D3" s="204" t="s">
        <v>486</v>
      </c>
      <c r="E3" s="204" t="s">
        <v>381</v>
      </c>
      <c r="F3" s="204" t="s">
        <v>31</v>
      </c>
      <c r="G3" s="205" t="s">
        <v>330</v>
      </c>
      <c r="J3" s="238" t="s">
        <v>727</v>
      </c>
      <c r="K3" s="241" t="s">
        <v>724</v>
      </c>
      <c r="L3" s="242" t="s">
        <v>725</v>
      </c>
      <c r="M3" s="243" t="s">
        <v>719</v>
      </c>
    </row>
    <row r="4" spans="1:17">
      <c r="A4" s="201" t="e">
        <f>MATCH(1,Resultats!V$3:V$28,0)</f>
        <v>#N/A</v>
      </c>
      <c r="B4" s="206" t="str">
        <f>IF($B$2&gt;0,INDEX(tab_melanges,A4,1),"")</f>
        <v/>
      </c>
      <c r="C4" s="209" t="str">
        <f>IF(B4="","",INDEX(Hauteur_PS,1,MATCH($B4,Especes,0)))</f>
        <v/>
      </c>
      <c r="D4" s="210" t="str">
        <f>IF(B4="","",INDEX(Configuration_systeme_racinaire_PS,1,MATCH($B4,Especes,0)))</f>
        <v/>
      </c>
      <c r="E4" s="210" t="str">
        <f>IF(B4="","",INDEX(Profondeur_systeme_racinaire_PS,1,MATCH($B4,Especes,0)))</f>
        <v/>
      </c>
      <c r="F4" s="210" t="str">
        <f>IF(B4="","",INDEX(Vitesse_croissance_PS,1,MATCH($B4,Especes,0)))</f>
        <v/>
      </c>
      <c r="G4" s="211" t="str">
        <f>IF($B4="","",INDEX(Surface_feuille_PS,1,MATCH($B4,Especes,0)))</f>
        <v/>
      </c>
      <c r="H4" s="211" t="str">
        <f>IF($B4="","",INDEX(Amplification_maladies_PS,1,MATCH($B4,Especes,0)))</f>
        <v/>
      </c>
      <c r="J4" s="239" t="str">
        <f>CONCATENATE(H4,H5,H6,H7,H8)</f>
        <v/>
      </c>
      <c r="K4" s="236" t="str">
        <f>IF(COUNTIF($J4,"*Aphano*"),"Aphano. ","")</f>
        <v/>
      </c>
      <c r="L4" s="235" t="str">
        <f>IF(COUNTIF($J4,"*Phoma*"),"Phoma. ","")</f>
        <v/>
      </c>
      <c r="M4" s="237" t="str">
        <f>IF(COUNTIF($J4,"*Sclerot*"),"Sclerot.","")</f>
        <v/>
      </c>
      <c r="Q4" s="1"/>
    </row>
    <row r="5" spans="1:17" ht="15" thickBot="1">
      <c r="A5" s="328" t="e">
        <f>MATCH(2,Resultats!V$3:V$28,0)</f>
        <v>#N/A</v>
      </c>
      <c r="B5" s="206" t="str">
        <f>IF($B$2&gt;1,INDEX(tab_melanges,A5,1),"")</f>
        <v/>
      </c>
      <c r="C5" s="209" t="str">
        <f>IF(B5="","",INDEX(Hauteur_PS,1,MATCH($B5,Especes,0)))</f>
        <v/>
      </c>
      <c r="D5" s="210" t="str">
        <f>IF(B5="","",INDEX(Configuration_systeme_racinaire_PS,1,MATCH($B5,Especes,0)))</f>
        <v/>
      </c>
      <c r="E5" s="210" t="str">
        <f>IF(B5="","",INDEX(Profondeur_systeme_racinaire_PS,1,MATCH($B5,Especes,0)))</f>
        <v/>
      </c>
      <c r="F5" s="210" t="str">
        <f>IF(B5="","",INDEX(Vitesse_croissance_PS,1,MATCH($B5,Especes,0)))</f>
        <v/>
      </c>
      <c r="G5" s="211" t="str">
        <f>IF($B5="","",INDEX(Surface_feuille_PS,1,MATCH($B5,Especes,0)))</f>
        <v/>
      </c>
      <c r="H5" s="211" t="str">
        <f>IF($B5="","",INDEX(Amplification_maladies_PS,1,MATCH($B5,Especes,0)))</f>
        <v/>
      </c>
      <c r="J5" s="240" t="s">
        <v>728</v>
      </c>
      <c r="K5" s="745" t="str">
        <f>CONCATENATE(K4,L4,M4)</f>
        <v/>
      </c>
      <c r="L5" s="746"/>
      <c r="M5" s="747"/>
      <c r="Q5" s="1"/>
    </row>
    <row r="6" spans="1:17">
      <c r="A6" s="201" t="e">
        <f>MATCH(3,Resultats!V$3:V$28,0)</f>
        <v>#N/A</v>
      </c>
      <c r="B6" s="206" t="str">
        <f>IF($B$2&gt;2,INDEX(tab_melanges,A6,1),"")</f>
        <v/>
      </c>
      <c r="C6" s="209" t="str">
        <f>IF(B6="","",INDEX(Hauteur_PS,1,MATCH($B6,Especes,0)))</f>
        <v/>
      </c>
      <c r="D6" s="210" t="str">
        <f>IF(B6="","",INDEX(Configuration_systeme_racinaire_PS,1,MATCH($B6,Especes,0)))</f>
        <v/>
      </c>
      <c r="E6" s="210" t="str">
        <f>IF(B6="","",INDEX(Profondeur_systeme_racinaire_PS,1,MATCH($B6,Especes,0)))</f>
        <v/>
      </c>
      <c r="F6" s="210" t="str">
        <f>IF(B6="","",INDEX(Vitesse_croissance_PS,1,MATCH($B6,Especes,0)))</f>
        <v/>
      </c>
      <c r="G6" s="211" t="str">
        <f>IF($B6="","",INDEX(Surface_feuille_PS,1,MATCH($B6,Especes,0)))</f>
        <v/>
      </c>
      <c r="H6" s="211" t="str">
        <f>IF($B6="","",INDEX(Amplification_maladies_PS,1,MATCH($B6,Especes,0)))</f>
        <v/>
      </c>
      <c r="Q6" s="1"/>
    </row>
    <row r="7" spans="1:17">
      <c r="A7" s="201" t="e">
        <f>MATCH(4,Resultats!V$3:V$28,0)</f>
        <v>#N/A</v>
      </c>
      <c r="B7" s="206" t="str">
        <f>IF($B$2&gt;3,INDEX(tab_melanges,A7,1),"")</f>
        <v/>
      </c>
      <c r="C7" s="209" t="str">
        <f>IF(B7="","",INDEX(Hauteur_PS,1,MATCH($B7,Especes,0)))</f>
        <v/>
      </c>
      <c r="D7" s="210" t="str">
        <f>IF(B7="","",INDEX(Configuration_systeme_racinaire_PS,1,MATCH($B7,Especes,0)))</f>
        <v/>
      </c>
      <c r="E7" s="210" t="str">
        <f>IF(B7="","",INDEX(Profondeur_systeme_racinaire_PS,1,MATCH($B7,Especes,0)))</f>
        <v/>
      </c>
      <c r="F7" s="210" t="str">
        <f>IF(B7="","",INDEX(Vitesse_croissance_PS,1,MATCH($B7,Especes,0)))</f>
        <v/>
      </c>
      <c r="G7" s="211" t="str">
        <f>IF($B7="","",INDEX(Surface_feuille_PS,1,MATCH($B7,Especes,0)))</f>
        <v/>
      </c>
      <c r="H7" s="211" t="str">
        <f>IF($B7="","",INDEX(Amplification_maladies_PS,1,MATCH($B7,Especes,0)))</f>
        <v/>
      </c>
      <c r="Q7" s="1"/>
    </row>
    <row r="8" spans="1:17" ht="15" thickBot="1">
      <c r="A8" s="208" t="e">
        <f>MATCH(5,Resultats!V$3:V$28,0)</f>
        <v>#N/A</v>
      </c>
      <c r="B8" s="207" t="str">
        <f>IF($B$2&gt;4,INDEX(tab_melanges,A8,1),"")</f>
        <v/>
      </c>
      <c r="C8" s="209" t="str">
        <f>IF(B8="","",INDEX(Hauteur_PS,1,MATCH($B8,Especes,0)))</f>
        <v/>
      </c>
      <c r="D8" s="210" t="str">
        <f>IF(B8="","",INDEX(Configuration_systeme_racinaire_PS,1,MATCH($B8,Especes,0)))</f>
        <v/>
      </c>
      <c r="E8" s="210" t="str">
        <f>IF(B8="","",INDEX(Profondeur_systeme_racinaire_PS,1,MATCH($B8,Especes,0)))</f>
        <v/>
      </c>
      <c r="F8" s="210" t="str">
        <f>IF(B8="","",INDEX(Vitesse_croissance_PS,1,MATCH($B8,Especes,0)))</f>
        <v/>
      </c>
      <c r="G8" s="211" t="str">
        <f>IF($B8="","",INDEX(Surface_feuille_PS,1,MATCH($B8,Especes,0)))</f>
        <v/>
      </c>
      <c r="H8" s="211" t="str">
        <f>IF($B8="","",INDEX(Amplification_maladies_PS,1,MATCH($B8,Especes,0)))</f>
        <v/>
      </c>
      <c r="Q8" s="1"/>
    </row>
    <row r="9" spans="1:17" s="1" customFormat="1">
      <c r="A9" s="736" t="s">
        <v>224</v>
      </c>
      <c r="B9" s="737"/>
      <c r="C9" s="164" t="s">
        <v>647</v>
      </c>
      <c r="D9" s="161" t="s">
        <v>650</v>
      </c>
      <c r="E9" s="161" t="s">
        <v>653</v>
      </c>
      <c r="F9" s="161" t="s">
        <v>647</v>
      </c>
      <c r="G9" s="162" t="s">
        <v>647</v>
      </c>
    </row>
    <row r="10" spans="1:17" s="1" customFormat="1">
      <c r="A10" s="738"/>
      <c r="B10" s="739"/>
      <c r="C10" s="165" t="s">
        <v>648</v>
      </c>
      <c r="D10" s="63" t="s">
        <v>651</v>
      </c>
      <c r="E10" s="63" t="s">
        <v>654</v>
      </c>
      <c r="F10" s="63" t="s">
        <v>648</v>
      </c>
      <c r="G10" s="163" t="s">
        <v>648</v>
      </c>
    </row>
    <row r="11" spans="1:17" s="1" customFormat="1" ht="15" thickBot="1">
      <c r="A11" s="738"/>
      <c r="B11" s="739"/>
      <c r="C11" s="165" t="s">
        <v>649</v>
      </c>
      <c r="D11" s="63" t="s">
        <v>652</v>
      </c>
      <c r="E11" s="63" t="s">
        <v>655</v>
      </c>
      <c r="F11" s="63" t="s">
        <v>649</v>
      </c>
      <c r="G11" s="163" t="s">
        <v>649</v>
      </c>
    </row>
    <row r="12" spans="1:17">
      <c r="A12" s="734" t="s">
        <v>645</v>
      </c>
      <c r="B12" s="735"/>
      <c r="C12" s="215" t="s">
        <v>646</v>
      </c>
      <c r="D12" s="212" t="s">
        <v>646</v>
      </c>
      <c r="E12" s="212" t="s">
        <v>646</v>
      </c>
      <c r="F12" s="212" t="s">
        <v>646</v>
      </c>
      <c r="G12" s="212" t="s">
        <v>646</v>
      </c>
      <c r="H12" s="213" t="s">
        <v>642</v>
      </c>
      <c r="Q12" s="1"/>
    </row>
    <row r="13" spans="1:17">
      <c r="A13" s="216">
        <v>1</v>
      </c>
      <c r="B13" s="217">
        <v>2</v>
      </c>
      <c r="C13" s="220" t="str">
        <f>IF(C4="","",IF(C5="","",(C4-C5)^2))</f>
        <v/>
      </c>
      <c r="D13" s="220" t="str">
        <f>IF(D4="","",IF(D5="","",(D4-D5)^2))</f>
        <v/>
      </c>
      <c r="E13" s="220" t="str">
        <f>IF(E4="","",IF(E5="","",(E4-E5)^2))</f>
        <v/>
      </c>
      <c r="F13" s="220" t="str">
        <f>IF(F4="","",IF(F5="","",(F4-F5)^2))</f>
        <v/>
      </c>
      <c r="G13" s="220" t="str">
        <f>IF(G4="","",IF(G5="","",(G4-G5)^2))</f>
        <v/>
      </c>
      <c r="H13" s="221" t="str">
        <f>IF(G13="","",(SQRT(SUM(C13:G13))))</f>
        <v/>
      </c>
      <c r="Q13" s="1"/>
    </row>
    <row r="14" spans="1:17">
      <c r="A14" s="218">
        <v>1</v>
      </c>
      <c r="B14" s="200">
        <v>3</v>
      </c>
      <c r="C14" s="199" t="str">
        <f>IF(C4="","",IF(C6="","",(C4-C6)^2))</f>
        <v/>
      </c>
      <c r="D14" s="199" t="str">
        <f>IF(D4="","",IF(D6="","",(D4-D6)^2))</f>
        <v/>
      </c>
      <c r="E14" s="199" t="str">
        <f>IF(E4="","",IF(E6="","",(E4-E6)^2))</f>
        <v/>
      </c>
      <c r="F14" s="199" t="str">
        <f>IF(F4="","",IF(F6="","",(F4-F6)^2))</f>
        <v/>
      </c>
      <c r="G14" s="199" t="str">
        <f>IF(G4="","",IF(G6="","",(G4-G6)^2))</f>
        <v/>
      </c>
      <c r="H14" s="222" t="str">
        <f t="shared" ref="H14:H22" si="0">IF(G14="","",(SQRT(SUM(C14:G14))))</f>
        <v/>
      </c>
      <c r="Q14" s="1"/>
    </row>
    <row r="15" spans="1:17">
      <c r="A15" s="218">
        <v>1</v>
      </c>
      <c r="B15" s="200">
        <v>4</v>
      </c>
      <c r="C15" s="199" t="str">
        <f>IF(C4="","",IF(C7="","",(C4-C7)^2))</f>
        <v/>
      </c>
      <c r="D15" s="199" t="str">
        <f>IF(D4="","",IF(D7="","",(D4-D7)^2))</f>
        <v/>
      </c>
      <c r="E15" s="199" t="str">
        <f>IF(E4="","",IF(E7="","",(E4-E7)^2))</f>
        <v/>
      </c>
      <c r="F15" s="199" t="str">
        <f>IF(F4="","",IF(F7="","",(F4-F7)^2))</f>
        <v/>
      </c>
      <c r="G15" s="199" t="str">
        <f>IF(G4="","",IF(G7="","",(G4-G7)^2))</f>
        <v/>
      </c>
      <c r="H15" s="222" t="str">
        <f t="shared" si="0"/>
        <v/>
      </c>
      <c r="Q15" s="1"/>
    </row>
    <row r="16" spans="1:17">
      <c r="A16" s="218">
        <v>1</v>
      </c>
      <c r="B16" s="200">
        <v>5</v>
      </c>
      <c r="C16" s="199" t="str">
        <f>IF(C4="","",IF(C8="","",(C4-C8)^2))</f>
        <v/>
      </c>
      <c r="D16" s="199" t="str">
        <f>IF(D4="","",IF(D8="","",(D4-D8)^2))</f>
        <v/>
      </c>
      <c r="E16" s="199" t="str">
        <f>IF(E4="","",IF(E8="","",(E4-E8)^2))</f>
        <v/>
      </c>
      <c r="F16" s="199" t="str">
        <f>IF(F4="","",IF(F8="","",(F4-F8)^2))</f>
        <v/>
      </c>
      <c r="G16" s="199" t="str">
        <f>IF(G4="","",IF(G8="","",(G4-G8)^2))</f>
        <v/>
      </c>
      <c r="H16" s="222" t="str">
        <f t="shared" si="0"/>
        <v/>
      </c>
      <c r="Q16" s="1"/>
    </row>
    <row r="17" spans="1:17">
      <c r="A17" s="218">
        <v>2</v>
      </c>
      <c r="B17" s="200">
        <v>3</v>
      </c>
      <c r="C17" s="199" t="str">
        <f>IF(C5="","",IF(C6="","",(C5-C6)^2))</f>
        <v/>
      </c>
      <c r="D17" s="199" t="str">
        <f>IF(D5="","",IF(D6="","",(D5-D6)^2))</f>
        <v/>
      </c>
      <c r="E17" s="199" t="str">
        <f>IF(E5="","",IF(E6="","",(E5-E6)^2))</f>
        <v/>
      </c>
      <c r="F17" s="199" t="str">
        <f>IF(F5="","",IF(F6="","",(F5-F6)^2))</f>
        <v/>
      </c>
      <c r="G17" s="199" t="str">
        <f>IF(G5="","",IF(G6="","",(G5-G6)^2))</f>
        <v/>
      </c>
      <c r="H17" s="222" t="str">
        <f t="shared" si="0"/>
        <v/>
      </c>
      <c r="Q17" s="1"/>
    </row>
    <row r="18" spans="1:17">
      <c r="A18" s="218">
        <v>2</v>
      </c>
      <c r="B18" s="200">
        <v>4</v>
      </c>
      <c r="C18" s="199" t="str">
        <f>IF(C5="","",IF(C7="","",(C5-C7)^2))</f>
        <v/>
      </c>
      <c r="D18" s="199" t="str">
        <f>IF(D5="","",IF(D7="","",(D5-D7)^2))</f>
        <v/>
      </c>
      <c r="E18" s="199" t="str">
        <f>IF(E5="","",IF(E7="","",(E5-E7)^2))</f>
        <v/>
      </c>
      <c r="F18" s="199" t="str">
        <f>IF(F5="","",IF(F7="","",(F5-F7)^2))</f>
        <v/>
      </c>
      <c r="G18" s="199" t="str">
        <f>IF(G5="","",IF(G7="","",(G5-G7)^2))</f>
        <v/>
      </c>
      <c r="H18" s="222" t="str">
        <f t="shared" si="0"/>
        <v/>
      </c>
    </row>
    <row r="19" spans="1:17">
      <c r="A19" s="218">
        <v>2</v>
      </c>
      <c r="B19" s="200">
        <v>5</v>
      </c>
      <c r="C19" s="199" t="str">
        <f>IF(C5="","",IF(C8="","",(C5-C8)^2))</f>
        <v/>
      </c>
      <c r="D19" s="199" t="str">
        <f>IF(D5="","",IF(D8="","",(D5-D8)^2))</f>
        <v/>
      </c>
      <c r="E19" s="199" t="str">
        <f>IF(E5="","",IF(E8="","",(E5-E8)^2))</f>
        <v/>
      </c>
      <c r="F19" s="199" t="str">
        <f>IF(F5="","",IF(F8="","",(F5-F8)^2))</f>
        <v/>
      </c>
      <c r="G19" s="199" t="str">
        <f>IF(G5="","",IF(G8="","",(G5-G8)^2))</f>
        <v/>
      </c>
      <c r="H19" s="222" t="str">
        <f t="shared" si="0"/>
        <v/>
      </c>
    </row>
    <row r="20" spans="1:17">
      <c r="A20" s="218">
        <v>3</v>
      </c>
      <c r="B20" s="200">
        <v>4</v>
      </c>
      <c r="C20" s="199" t="str">
        <f>IF(C6="","",IF(C7="","",(C6-C7)^2))</f>
        <v/>
      </c>
      <c r="D20" s="199" t="str">
        <f>IF(D6="","",IF(D7="","",(D6-D7)^2))</f>
        <v/>
      </c>
      <c r="E20" s="199" t="str">
        <f>IF(E6="","",IF(E7="","",(E6-E7)^2))</f>
        <v/>
      </c>
      <c r="F20" s="199" t="str">
        <f>IF(F6="","",IF(F7="","",(F6-F7)^2))</f>
        <v/>
      </c>
      <c r="G20" s="199" t="str">
        <f>IF(G6="","",IF(G7="","",(G6-G7)^2))</f>
        <v/>
      </c>
      <c r="H20" s="222" t="str">
        <f t="shared" si="0"/>
        <v/>
      </c>
    </row>
    <row r="21" spans="1:17">
      <c r="A21" s="218">
        <v>3</v>
      </c>
      <c r="B21" s="200">
        <v>5</v>
      </c>
      <c r="C21" s="199" t="str">
        <f>IF(C6="","",IF(C8="","",(C6-C8)^2))</f>
        <v/>
      </c>
      <c r="D21" s="199" t="str">
        <f>IF(D6="","",IF(D8="","",(D6-D8)^2))</f>
        <v/>
      </c>
      <c r="E21" s="199" t="str">
        <f>IF(E6="","",IF(E8="","",(E6-E8)^2))</f>
        <v/>
      </c>
      <c r="F21" s="199" t="str">
        <f>IF(F6="","",IF(F8="","",(F6-F8)^2))</f>
        <v/>
      </c>
      <c r="G21" s="199" t="str">
        <f>IF(G6="","",IF(G8="","",(G6-G8)^2))</f>
        <v/>
      </c>
      <c r="H21" s="222" t="str">
        <f t="shared" si="0"/>
        <v/>
      </c>
    </row>
    <row r="22" spans="1:17" ht="15" thickBot="1">
      <c r="A22" s="219">
        <v>4</v>
      </c>
      <c r="B22" s="198">
        <v>5</v>
      </c>
      <c r="C22" s="197" t="str">
        <f>IF(C7="","",IF(C8="","",(C7-C8)^2))</f>
        <v/>
      </c>
      <c r="D22" s="197" t="str">
        <f>IF(D7="","",IF(D8="","",(D7-D8)^2))</f>
        <v/>
      </c>
      <c r="E22" s="197" t="str">
        <f>IF(E7="","",IF(E8="","",(E7-E8)^2))</f>
        <v/>
      </c>
      <c r="F22" s="197" t="str">
        <f>IF(F7="","",IF(F8="","",(F7-F8)^2))</f>
        <v/>
      </c>
      <c r="G22" s="197" t="str">
        <f>IF(G7="","",IF(G8="","",(G7-G8)^2))</f>
        <v/>
      </c>
      <c r="H22" s="223" t="str">
        <f t="shared" si="0"/>
        <v/>
      </c>
    </row>
    <row r="23" spans="1:17">
      <c r="G23" s="166" t="s">
        <v>644</v>
      </c>
      <c r="H23" s="224" t="str">
        <f>IF(B2&lt;2,"",AVERAGE(H13:H22))</f>
        <v/>
      </c>
    </row>
    <row r="24" spans="1:17">
      <c r="C24" s="1" t="e">
        <f>MATCH($B4,Especes,0)</f>
        <v>#N/A</v>
      </c>
      <c r="G24" s="8" t="s">
        <v>663</v>
      </c>
      <c r="H24" s="225" t="str">
        <f>IF(B2&lt;2,"",IF(H23&lt;1.5,"Faible",IF(H23&lt;2.5,"Moyenne","Forte")))</f>
        <v/>
      </c>
    </row>
    <row r="25" spans="1:17" ht="15" thickBot="1">
      <c r="G25" s="214" t="s">
        <v>662</v>
      </c>
      <c r="H25" s="226" t="str">
        <f>IF(B2&lt;2,"",IF(H23&lt;1.5,0.8,IF(H23&lt;2.5,1,1.2)))</f>
        <v/>
      </c>
    </row>
    <row r="27" spans="1:17">
      <c r="A27" t="s">
        <v>664</v>
      </c>
      <c r="B27" t="s">
        <v>663</v>
      </c>
      <c r="C27" t="s">
        <v>662</v>
      </c>
    </row>
    <row r="28" spans="1:17">
      <c r="A28" t="s">
        <v>665</v>
      </c>
      <c r="B28" t="s">
        <v>667</v>
      </c>
      <c r="C28">
        <v>0.8</v>
      </c>
    </row>
    <row r="29" spans="1:17">
      <c r="A29" t="s">
        <v>666</v>
      </c>
      <c r="B29" t="s">
        <v>668</v>
      </c>
      <c r="C29">
        <v>1</v>
      </c>
    </row>
    <row r="30" spans="1:17">
      <c r="A30" t="s">
        <v>669</v>
      </c>
      <c r="B30" t="s">
        <v>670</v>
      </c>
      <c r="C30">
        <v>1.2</v>
      </c>
    </row>
    <row r="33" spans="1:10">
      <c r="A33" t="s">
        <v>671</v>
      </c>
      <c r="B33" s="1" t="s">
        <v>642</v>
      </c>
      <c r="C33" t="s">
        <v>672</v>
      </c>
      <c r="D33" s="1"/>
      <c r="E33" s="1"/>
      <c r="F33" s="1"/>
      <c r="G33" s="1"/>
      <c r="H33" s="1"/>
      <c r="I33" s="1"/>
      <c r="J33" s="1"/>
    </row>
    <row r="34" spans="1:10">
      <c r="A34" t="s">
        <v>673</v>
      </c>
      <c r="B34" s="1">
        <v>3.74</v>
      </c>
      <c r="C34">
        <v>1.2</v>
      </c>
      <c r="D34" s="1"/>
      <c r="E34" s="1"/>
      <c r="F34" s="1"/>
      <c r="G34" s="1"/>
      <c r="H34" s="1"/>
      <c r="I34" s="1"/>
      <c r="J34" s="1"/>
    </row>
    <row r="35" spans="1:10">
      <c r="A35" t="s">
        <v>683</v>
      </c>
      <c r="B35" s="1">
        <v>1.41</v>
      </c>
      <c r="C35">
        <v>0.8</v>
      </c>
      <c r="D35" s="1"/>
      <c r="E35" s="1"/>
      <c r="F35" s="1"/>
      <c r="G35" s="1"/>
      <c r="H35" s="1"/>
      <c r="I35" s="1"/>
      <c r="J35" s="1"/>
    </row>
    <row r="36" spans="1:10">
      <c r="A36" t="s">
        <v>684</v>
      </c>
      <c r="B36" s="1">
        <v>2.2400000000000002</v>
      </c>
      <c r="C36">
        <v>1</v>
      </c>
      <c r="D36" s="1"/>
      <c r="E36" s="1"/>
      <c r="F36" s="1"/>
      <c r="G36" s="1"/>
      <c r="H36" s="1"/>
      <c r="I36" s="1"/>
      <c r="J36" s="1"/>
    </row>
    <row r="37" spans="1:10">
      <c r="A37" t="s">
        <v>732</v>
      </c>
      <c r="B37" s="1">
        <v>2.46</v>
      </c>
      <c r="C37" s="1">
        <v>1</v>
      </c>
      <c r="D37" s="1"/>
      <c r="E37" s="1"/>
      <c r="F37" s="1"/>
      <c r="G37" s="1"/>
      <c r="H37" s="1"/>
      <c r="I37" s="1"/>
      <c r="J37" s="1"/>
    </row>
    <row r="38" spans="1:10">
      <c r="C38" s="1"/>
      <c r="D38" s="1"/>
      <c r="E38" s="1"/>
      <c r="F38" s="1"/>
      <c r="G38" s="1"/>
      <c r="H38" s="1"/>
      <c r="I38" s="1"/>
      <c r="J38" s="1"/>
    </row>
    <row r="39" spans="1:10">
      <c r="C39" s="1"/>
      <c r="D39" s="1"/>
      <c r="E39" s="1"/>
      <c r="F39" s="1"/>
      <c r="G39" s="1"/>
      <c r="H39" s="1"/>
      <c r="I39" s="1"/>
      <c r="J39" s="1"/>
    </row>
    <row r="40" spans="1:10">
      <c r="C40" s="1"/>
      <c r="D40" s="1"/>
      <c r="E40" s="1"/>
      <c r="F40" s="1"/>
      <c r="G40" s="1"/>
      <c r="H40" s="1"/>
      <c r="I40" s="1"/>
      <c r="J40" s="1"/>
    </row>
    <row r="41" spans="1:10">
      <c r="C41" s="1"/>
      <c r="D41" s="1"/>
      <c r="E41" s="1"/>
      <c r="F41" s="1"/>
      <c r="G41" s="1"/>
      <c r="H41" s="1"/>
      <c r="I41" s="1"/>
      <c r="J41" s="1"/>
    </row>
    <row r="42" spans="1:10">
      <c r="C42" s="1"/>
      <c r="D42" s="1"/>
      <c r="E42" s="1"/>
      <c r="F42" s="1"/>
      <c r="G42" s="1"/>
      <c r="H42" s="1"/>
      <c r="I42" s="1"/>
      <c r="J42" s="1"/>
    </row>
    <row r="43" spans="1:10">
      <c r="C43" s="1"/>
      <c r="D43" s="1"/>
      <c r="E43" s="1"/>
      <c r="F43" s="1"/>
      <c r="G43" s="1"/>
      <c r="H43" s="1"/>
      <c r="I43" s="1"/>
      <c r="J43" s="1"/>
    </row>
    <row r="44" spans="1:10">
      <c r="C44" s="1"/>
      <c r="D44" s="1"/>
      <c r="E44" s="1"/>
      <c r="F44" s="1"/>
      <c r="G44" s="1"/>
      <c r="H44" s="1"/>
      <c r="I44" s="1"/>
      <c r="J44" s="1"/>
    </row>
    <row r="45" spans="1:10">
      <c r="C45" s="1"/>
      <c r="D45" s="1"/>
      <c r="E45" s="1"/>
      <c r="F45" s="1"/>
      <c r="G45" s="1"/>
      <c r="H45" s="1"/>
      <c r="I45" s="1"/>
      <c r="J45" s="1"/>
    </row>
    <row r="46" spans="1:10">
      <c r="C46" s="1"/>
      <c r="D46" s="1"/>
      <c r="E46" s="1"/>
      <c r="F46" s="1"/>
      <c r="G46" s="1"/>
      <c r="H46" s="1"/>
      <c r="I46" s="1"/>
      <c r="J46" s="1"/>
    </row>
    <row r="47" spans="1:10">
      <c r="C47" s="1"/>
      <c r="D47" s="1"/>
      <c r="E47" s="1"/>
      <c r="F47" s="1"/>
      <c r="G47" s="1"/>
      <c r="H47" s="1"/>
      <c r="I47" s="1"/>
      <c r="J47" s="1"/>
    </row>
    <row r="48" spans="1:10">
      <c r="C48" s="1"/>
      <c r="D48" s="1"/>
      <c r="E48" s="1"/>
      <c r="F48" s="1"/>
      <c r="G48" s="1"/>
      <c r="H48" s="1"/>
      <c r="I48" s="1"/>
      <c r="J48" s="1"/>
    </row>
  </sheetData>
  <mergeCells count="5">
    <mergeCell ref="A12:B12"/>
    <mergeCell ref="A9:B11"/>
    <mergeCell ref="A3:B3"/>
    <mergeCell ref="J2:M2"/>
    <mergeCell ref="K5:M5"/>
  </mergeCells>
  <pageMargins left="0.78740157499999996" right="0.78740157499999996" top="0.984251969" bottom="0.984251969"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enableFormatConditionsCalculation="0"/>
  <dimension ref="A1:A13"/>
  <sheetViews>
    <sheetView workbookViewId="0">
      <selection activeCell="B66" sqref="A41:XFD66"/>
    </sheetView>
  </sheetViews>
  <sheetFormatPr baseColWidth="10" defaultRowHeight="14" x14ac:dyDescent="0"/>
  <cols>
    <col min="1" max="1" width="65.6640625" customWidth="1"/>
  </cols>
  <sheetData>
    <row r="1" spans="1:1">
      <c r="A1" s="248" t="s">
        <v>713</v>
      </c>
    </row>
    <row r="2" spans="1:1">
      <c r="A2" t="s">
        <v>714</v>
      </c>
    </row>
    <row r="4" spans="1:1">
      <c r="A4" s="231" t="s">
        <v>741</v>
      </c>
    </row>
    <row r="5" spans="1:1">
      <c r="A5" s="231" t="s">
        <v>715</v>
      </c>
    </row>
    <row r="6" spans="1:1">
      <c r="A6" s="231" t="s">
        <v>709</v>
      </c>
    </row>
    <row r="7" spans="1:1">
      <c r="A7" s="231" t="s">
        <v>716</v>
      </c>
    </row>
    <row r="8" spans="1:1">
      <c r="A8" s="231"/>
    </row>
    <row r="9" spans="1:1">
      <c r="A9" s="231" t="s">
        <v>710</v>
      </c>
    </row>
    <row r="10" spans="1:1">
      <c r="A10" s="231" t="s">
        <v>717</v>
      </c>
    </row>
    <row r="11" spans="1:1">
      <c r="A11" s="231" t="s">
        <v>711</v>
      </c>
    </row>
    <row r="12" spans="1:1">
      <c r="A12" s="231"/>
    </row>
    <row r="13" spans="1:1">
      <c r="A13" s="231" t="s">
        <v>712</v>
      </c>
    </row>
  </sheetData>
  <pageMargins left="0.78740157499999996" right="0.78740157499999996" top="0.984251969" bottom="0.984251969"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enableFormatConditionsCalculation="0">
    <tabColor theme="4"/>
    <pageSetUpPr fitToPage="1"/>
  </sheetPr>
  <dimension ref="A1:P292"/>
  <sheetViews>
    <sheetView showGridLines="0" zoomScale="85" zoomScaleNormal="85" zoomScalePageLayoutView="85" workbookViewId="0">
      <selection activeCell="C4" sqref="C4"/>
    </sheetView>
  </sheetViews>
  <sheetFormatPr baseColWidth="10" defaultColWidth="10.83203125" defaultRowHeight="14" x14ac:dyDescent="0"/>
  <cols>
    <col min="1" max="1" width="48.5" style="9" customWidth="1"/>
    <col min="2" max="2" width="37.83203125" style="9" customWidth="1"/>
    <col min="3" max="3" width="33.6640625" style="9" customWidth="1"/>
    <col min="4" max="4" width="45.5" style="9" customWidth="1"/>
    <col min="5" max="5" width="62.5" style="30" customWidth="1"/>
    <col min="6" max="6" width="31.6640625" style="9" customWidth="1"/>
    <col min="7" max="8" width="20.5" style="9" customWidth="1"/>
    <col min="9" max="9" width="14.1640625" style="9" customWidth="1"/>
    <col min="10" max="10" width="49.33203125" style="9" customWidth="1"/>
    <col min="11" max="11" width="14.83203125" style="9" customWidth="1"/>
    <col min="12" max="12" width="14.5" style="9" customWidth="1"/>
    <col min="13" max="13" width="11.83203125" style="9" customWidth="1"/>
    <col min="14" max="14" width="14.1640625" style="9" customWidth="1"/>
    <col min="15" max="15" width="9.1640625" style="30" customWidth="1"/>
    <col min="16" max="16384" width="10.83203125" style="9"/>
  </cols>
  <sheetData>
    <row r="1" spans="1:15" ht="48.75" customHeight="1">
      <c r="A1" s="470" t="s">
        <v>260</v>
      </c>
      <c r="B1" s="471"/>
      <c r="C1" s="471"/>
      <c r="D1" s="472"/>
      <c r="E1" s="85"/>
      <c r="O1" s="10"/>
    </row>
    <row r="2" spans="1:15" ht="28.5" customHeight="1" thickBot="1">
      <c r="A2" s="475" t="s">
        <v>789</v>
      </c>
      <c r="B2" s="476"/>
      <c r="C2" s="476"/>
      <c r="D2" s="477"/>
      <c r="E2" s="86"/>
      <c r="F2" s="13"/>
      <c r="G2" s="13"/>
      <c r="H2" s="13"/>
      <c r="O2" s="10"/>
    </row>
    <row r="3" spans="1:15" ht="53.25" customHeight="1">
      <c r="A3" s="454" t="s">
        <v>273</v>
      </c>
      <c r="B3" s="455"/>
      <c r="C3" s="456"/>
      <c r="D3" s="457"/>
      <c r="E3" s="86"/>
      <c r="F3" s="449"/>
      <c r="G3" s="449"/>
      <c r="H3" s="60"/>
      <c r="O3" s="10"/>
    </row>
    <row r="4" spans="1:15" ht="40.5" customHeight="1">
      <c r="A4" s="473" t="s">
        <v>214</v>
      </c>
      <c r="B4" s="474"/>
      <c r="C4" s="412"/>
      <c r="D4" s="450" t="str">
        <f>IF(C5="","-",VLOOKUP(CONCATENATE(VLOOKUP(C4,Département,2,0),C5),region_Dsemis,3,0))</f>
        <v>-</v>
      </c>
      <c r="E4" s="141" t="str">
        <f>IF(D4="-","-",LEFT(D4,SEARCH(":",D4,1)-2))</f>
        <v>-</v>
      </c>
      <c r="F4" s="449"/>
      <c r="G4" s="449"/>
      <c r="H4" s="60"/>
      <c r="O4" s="28"/>
    </row>
    <row r="5" spans="1:15" ht="39" customHeight="1" thickBot="1">
      <c r="A5" s="452" t="s">
        <v>75</v>
      </c>
      <c r="B5" s="453"/>
      <c r="C5" s="136"/>
      <c r="D5" s="451"/>
      <c r="E5" s="141"/>
      <c r="F5" s="449"/>
      <c r="G5" s="449"/>
      <c r="H5" s="60"/>
      <c r="O5" s="10"/>
    </row>
    <row r="6" spans="1:15" ht="52.5" hidden="1" customHeight="1" thickBot="1">
      <c r="A6" s="92" t="s">
        <v>248</v>
      </c>
      <c r="B6" s="93" t="s">
        <v>249</v>
      </c>
      <c r="C6" s="94" t="s">
        <v>250</v>
      </c>
      <c r="D6" s="95" t="s">
        <v>251</v>
      </c>
      <c r="E6" s="141"/>
      <c r="F6" s="449"/>
      <c r="G6" s="449"/>
      <c r="H6" s="60"/>
      <c r="O6" s="10"/>
    </row>
    <row r="7" spans="1:15" s="14" customFormat="1" ht="54" customHeight="1">
      <c r="A7" s="454" t="s">
        <v>274</v>
      </c>
      <c r="B7" s="478"/>
      <c r="C7" s="479"/>
      <c r="D7" s="480"/>
      <c r="E7" s="141"/>
      <c r="F7" s="9"/>
      <c r="G7" s="45"/>
      <c r="H7" s="45"/>
      <c r="I7" s="15"/>
      <c r="M7" s="9"/>
      <c r="O7" s="16"/>
    </row>
    <row r="8" spans="1:15" s="13" customFormat="1" ht="38.25" customHeight="1">
      <c r="A8" s="484" t="s">
        <v>261</v>
      </c>
      <c r="B8" s="66" t="s">
        <v>262</v>
      </c>
      <c r="C8" s="483"/>
      <c r="D8" s="490" t="str">
        <f>IF(C14="","-",VLOOKUP(CONCATENATE(C8,C11,C14),adventices,3,0))</f>
        <v>-</v>
      </c>
      <c r="E8" s="141" t="str">
        <f>IF(D8="-","-",LEFT(D8,SEARCH(" ",D8,1)-1))</f>
        <v>-</v>
      </c>
      <c r="F8" s="64"/>
      <c r="G8" s="64"/>
      <c r="H8" s="64"/>
      <c r="J8" s="17"/>
      <c r="O8" s="18"/>
    </row>
    <row r="9" spans="1:15" s="13" customFormat="1" ht="56">
      <c r="A9" s="485"/>
      <c r="B9" s="67" t="s">
        <v>263</v>
      </c>
      <c r="C9" s="483"/>
      <c r="D9" s="491"/>
      <c r="E9" s="141"/>
      <c r="F9" s="64"/>
      <c r="G9" s="64"/>
      <c r="H9" s="64"/>
      <c r="J9" s="17"/>
      <c r="O9" s="61"/>
    </row>
    <row r="10" spans="1:15" s="13" customFormat="1" ht="56">
      <c r="A10" s="486"/>
      <c r="B10" s="68" t="s">
        <v>415</v>
      </c>
      <c r="C10" s="483"/>
      <c r="D10" s="491"/>
      <c r="E10" s="141"/>
      <c r="F10" s="64"/>
      <c r="G10" s="64"/>
      <c r="H10" s="64"/>
      <c r="J10" s="17"/>
      <c r="O10" s="61"/>
    </row>
    <row r="11" spans="1:15">
      <c r="A11" s="487" t="s">
        <v>296</v>
      </c>
      <c r="B11" s="66" t="s">
        <v>414</v>
      </c>
      <c r="C11" s="497"/>
      <c r="D11" s="491"/>
      <c r="E11" s="141"/>
      <c r="F11" s="64"/>
      <c r="G11" s="64"/>
      <c r="H11" s="64"/>
      <c r="J11" s="7"/>
      <c r="O11" s="10"/>
    </row>
    <row r="12" spans="1:15">
      <c r="A12" s="488"/>
      <c r="B12" s="67" t="s">
        <v>209</v>
      </c>
      <c r="C12" s="497"/>
      <c r="D12" s="491"/>
      <c r="E12" s="141"/>
      <c r="F12" s="64"/>
      <c r="G12" s="64"/>
      <c r="H12" s="64"/>
      <c r="J12" s="7"/>
    </row>
    <row r="13" spans="1:15">
      <c r="A13" s="481"/>
      <c r="B13" s="87" t="s">
        <v>291</v>
      </c>
      <c r="C13" s="497"/>
      <c r="D13" s="491"/>
      <c r="E13" s="141"/>
      <c r="F13" s="64"/>
      <c r="G13" s="64"/>
      <c r="H13" s="64"/>
      <c r="J13" s="7"/>
    </row>
    <row r="14" spans="1:15" ht="29.25" customHeight="1">
      <c r="A14" s="487" t="s">
        <v>783</v>
      </c>
      <c r="B14" s="66" t="s">
        <v>692</v>
      </c>
      <c r="C14" s="498"/>
      <c r="D14" s="491"/>
      <c r="E14" s="141"/>
      <c r="F14" s="64"/>
      <c r="G14" s="64"/>
      <c r="H14" s="64"/>
      <c r="J14" s="7"/>
      <c r="O14" s="10"/>
    </row>
    <row r="15" spans="1:15" ht="29.25" customHeight="1">
      <c r="A15" s="488"/>
      <c r="B15" s="67" t="s">
        <v>693</v>
      </c>
      <c r="C15" s="498"/>
      <c r="D15" s="491"/>
      <c r="E15" s="141"/>
      <c r="F15" s="64"/>
      <c r="G15" s="64"/>
      <c r="H15" s="64"/>
      <c r="J15" s="7"/>
    </row>
    <row r="16" spans="1:15" ht="29.25" customHeight="1" thickBot="1">
      <c r="A16" s="489"/>
      <c r="B16" s="76" t="s">
        <v>694</v>
      </c>
      <c r="C16" s="499"/>
      <c r="D16" s="492"/>
      <c r="E16" s="141"/>
      <c r="F16" s="64"/>
      <c r="G16" s="64"/>
      <c r="H16" s="64"/>
      <c r="J16" s="7"/>
    </row>
    <row r="17" spans="1:15" s="14" customFormat="1" ht="57" customHeight="1">
      <c r="A17" s="493" t="s">
        <v>275</v>
      </c>
      <c r="B17" s="494"/>
      <c r="C17" s="495"/>
      <c r="D17" s="496"/>
      <c r="E17" s="141"/>
      <c r="F17" s="64"/>
      <c r="G17" s="64"/>
      <c r="H17" s="64"/>
      <c r="O17" s="16"/>
    </row>
    <row r="18" spans="1:15" s="19" customFormat="1" ht="42" customHeight="1">
      <c r="A18" s="503" t="s">
        <v>418</v>
      </c>
      <c r="B18" s="66" t="s">
        <v>419</v>
      </c>
      <c r="C18" s="500"/>
      <c r="D18" s="468" t="str">
        <f>IF(C23="","-",VLOOKUP(CONCATENATE(C18,C21,C22,C23),Azote,3,0))</f>
        <v>-</v>
      </c>
      <c r="E18" s="141" t="str">
        <f>IF(D18="-","-",VLOOKUP(D18,RDD_azote2,3,0))</f>
        <v>-</v>
      </c>
      <c r="F18" s="64"/>
      <c r="G18" s="65"/>
      <c r="H18" s="65"/>
      <c r="O18" s="20"/>
    </row>
    <row r="19" spans="1:15" s="19" customFormat="1" ht="42" customHeight="1">
      <c r="A19" s="504"/>
      <c r="B19" s="67" t="s">
        <v>420</v>
      </c>
      <c r="C19" s="501"/>
      <c r="D19" s="469"/>
      <c r="E19" s="141"/>
      <c r="F19" s="64"/>
      <c r="G19" s="65"/>
      <c r="H19" s="65"/>
      <c r="O19" s="117"/>
    </row>
    <row r="20" spans="1:15" s="19" customFormat="1" ht="42" customHeight="1" thickBot="1">
      <c r="A20" s="505"/>
      <c r="B20" s="76" t="s">
        <v>421</v>
      </c>
      <c r="C20" s="502"/>
      <c r="D20" s="506" t="str">
        <f>IF(C23="","-",VLOOKUP(D18,RDD_azote2,2,0))</f>
        <v>-</v>
      </c>
      <c r="E20" s="141"/>
      <c r="F20" s="64"/>
      <c r="G20" s="65"/>
      <c r="H20" s="65"/>
      <c r="O20" s="117"/>
    </row>
    <row r="21" spans="1:15" s="19" customFormat="1" ht="40.5" customHeight="1">
      <c r="A21" s="481" t="s">
        <v>103</v>
      </c>
      <c r="B21" s="482"/>
      <c r="C21" s="137"/>
      <c r="D21" s="506"/>
      <c r="E21" s="141"/>
      <c r="F21" s="64"/>
      <c r="G21" s="64"/>
      <c r="H21" s="64"/>
      <c r="O21" s="20"/>
    </row>
    <row r="22" spans="1:15" s="19" customFormat="1" ht="48.75" customHeight="1">
      <c r="A22" s="464" t="s">
        <v>784</v>
      </c>
      <c r="B22" s="465"/>
      <c r="C22" s="137"/>
      <c r="D22" s="506"/>
      <c r="E22" s="141"/>
      <c r="F22" s="64"/>
      <c r="G22" s="64"/>
      <c r="H22" s="64"/>
      <c r="O22" s="29"/>
    </row>
    <row r="23" spans="1:15" s="19" customFormat="1" ht="43.5" customHeight="1" thickBot="1">
      <c r="A23" s="466" t="s">
        <v>198</v>
      </c>
      <c r="B23" s="467"/>
      <c r="C23" s="136"/>
      <c r="D23" s="507"/>
      <c r="E23" s="141"/>
      <c r="F23" s="64"/>
      <c r="G23" s="64"/>
      <c r="H23" s="64"/>
      <c r="O23" s="29"/>
    </row>
    <row r="24" spans="1:15" ht="39.75" customHeight="1">
      <c r="A24" s="461" t="s">
        <v>629</v>
      </c>
      <c r="B24" s="462"/>
      <c r="C24" s="462"/>
      <c r="D24" s="463"/>
      <c r="E24" s="26"/>
      <c r="F24" s="64"/>
      <c r="G24" s="64"/>
      <c r="H24" s="62"/>
      <c r="O24" s="10"/>
    </row>
    <row r="25" spans="1:15" ht="78.75" customHeight="1" thickBot="1">
      <c r="A25" s="458" t="str">
        <f>IF(D20="-","-",VLOOKUP(CONCATENATE(E4,E8,E18),Note_finale,3,0))</f>
        <v>-</v>
      </c>
      <c r="B25" s="459"/>
      <c r="C25" s="459"/>
      <c r="D25" s="460"/>
      <c r="E25" s="26"/>
      <c r="F25" s="64"/>
      <c r="G25" s="64"/>
      <c r="H25" s="62"/>
    </row>
    <row r="26" spans="1:15" ht="15.75" customHeight="1">
      <c r="A26" s="11"/>
      <c r="B26" s="12"/>
      <c r="C26" s="12"/>
      <c r="D26" s="12"/>
      <c r="E26" s="10"/>
      <c r="F26" s="64"/>
      <c r="G26" s="64"/>
      <c r="H26" s="62"/>
      <c r="O26" s="10"/>
    </row>
    <row r="27" spans="1:15" ht="15.75" customHeight="1">
      <c r="A27" s="12"/>
      <c r="B27" s="12"/>
      <c r="C27" s="12"/>
      <c r="D27" s="12"/>
      <c r="F27" s="70"/>
      <c r="G27" s="70"/>
      <c r="H27" s="62"/>
    </row>
    <row r="28" spans="1:15" ht="15.75" customHeight="1">
      <c r="A28" s="12"/>
      <c r="B28" s="12"/>
      <c r="C28" s="12"/>
      <c r="D28" s="12"/>
      <c r="F28" s="70"/>
      <c r="G28" s="70"/>
      <c r="H28" s="62"/>
    </row>
    <row r="29" spans="1:15" ht="15.75" customHeight="1">
      <c r="A29" s="12"/>
      <c r="B29" s="12"/>
      <c r="C29" s="12"/>
      <c r="D29" s="12"/>
      <c r="F29" s="70"/>
      <c r="G29" s="70"/>
      <c r="H29" s="62"/>
    </row>
    <row r="30" spans="1:15" ht="15.75" customHeight="1">
      <c r="A30" s="12"/>
      <c r="B30" s="12"/>
      <c r="C30" s="12"/>
      <c r="D30" s="12"/>
      <c r="F30" s="70"/>
      <c r="G30" s="70"/>
      <c r="H30" s="62"/>
    </row>
    <row r="31" spans="1:15" ht="15.75" customHeight="1">
      <c r="A31" s="12"/>
      <c r="B31" s="12"/>
      <c r="C31" s="12"/>
      <c r="D31" s="12"/>
      <c r="F31" s="70"/>
      <c r="G31" s="70"/>
      <c r="H31" s="62"/>
    </row>
    <row r="32" spans="1:15" ht="15.75" customHeight="1">
      <c r="A32" s="12"/>
      <c r="B32" s="12"/>
      <c r="C32" s="12"/>
      <c r="D32" s="12"/>
      <c r="F32" s="70"/>
      <c r="G32" s="70"/>
      <c r="H32" s="62"/>
    </row>
    <row r="33" spans="1:15" ht="15.75" customHeight="1">
      <c r="A33" s="12"/>
      <c r="B33" s="12"/>
      <c r="C33" s="12"/>
      <c r="D33" s="12"/>
      <c r="F33" s="70"/>
      <c r="G33" s="70"/>
      <c r="H33" s="62"/>
    </row>
    <row r="34" spans="1:15" ht="15.75" customHeight="1">
      <c r="A34" s="12"/>
      <c r="B34" s="12"/>
      <c r="C34" s="12"/>
      <c r="D34" s="12"/>
      <c r="F34" s="70"/>
      <c r="G34" s="70"/>
      <c r="H34" s="62"/>
    </row>
    <row r="35" spans="1:15" ht="15.75" customHeight="1">
      <c r="A35" s="12"/>
      <c r="B35" s="12"/>
      <c r="C35" s="12"/>
      <c r="D35" s="12"/>
      <c r="F35" s="70"/>
      <c r="G35" s="70"/>
      <c r="H35" s="62"/>
    </row>
    <row r="36" spans="1:15" ht="15.75" hidden="1" customHeight="1">
      <c r="A36" s="12"/>
      <c r="B36" s="12"/>
      <c r="C36" s="12"/>
      <c r="D36" s="12"/>
      <c r="F36" s="70"/>
      <c r="G36" s="70"/>
      <c r="H36" s="62"/>
    </row>
    <row r="37" spans="1:15" ht="15.75" hidden="1" customHeight="1">
      <c r="A37" s="12" t="s">
        <v>254</v>
      </c>
      <c r="B37" s="12"/>
      <c r="C37" s="12"/>
      <c r="D37" s="12"/>
      <c r="F37" s="70"/>
      <c r="G37" s="70"/>
      <c r="H37" s="62"/>
    </row>
    <row r="38" spans="1:15" ht="15.75" hidden="1" customHeight="1">
      <c r="A38" s="72" t="s">
        <v>78</v>
      </c>
      <c r="B38" s="72" t="s">
        <v>206</v>
      </c>
      <c r="C38" s="72" t="s">
        <v>207</v>
      </c>
      <c r="D38" s="72" t="s">
        <v>210</v>
      </c>
      <c r="E38" s="72" t="s">
        <v>416</v>
      </c>
      <c r="F38" s="72" t="s">
        <v>264</v>
      </c>
      <c r="G38" s="70" t="s">
        <v>417</v>
      </c>
      <c r="H38" s="62"/>
    </row>
    <row r="39" spans="1:15" ht="15.75" hidden="1" customHeight="1">
      <c r="A39" s="69" t="s">
        <v>94</v>
      </c>
      <c r="B39" s="71" t="s">
        <v>7</v>
      </c>
      <c r="C39" s="6" t="s">
        <v>208</v>
      </c>
      <c r="D39" s="6" t="s">
        <v>692</v>
      </c>
      <c r="E39" s="120" t="s">
        <v>7</v>
      </c>
      <c r="F39" s="6" t="s">
        <v>104</v>
      </c>
      <c r="G39" s="70" t="s">
        <v>27</v>
      </c>
      <c r="H39" s="62"/>
    </row>
    <row r="40" spans="1:15" ht="15.75" hidden="1" customHeight="1">
      <c r="A40" s="69" t="s">
        <v>218</v>
      </c>
      <c r="B40" s="71" t="s">
        <v>212</v>
      </c>
      <c r="C40" s="6" t="s">
        <v>209</v>
      </c>
      <c r="D40" s="6" t="s">
        <v>693</v>
      </c>
      <c r="E40" s="120" t="s">
        <v>8</v>
      </c>
      <c r="F40" s="6" t="s">
        <v>201</v>
      </c>
      <c r="G40" s="70" t="s">
        <v>28</v>
      </c>
      <c r="H40" s="62"/>
    </row>
    <row r="41" spans="1:15" ht="15.75" hidden="1" customHeight="1">
      <c r="A41" s="69" t="s">
        <v>217</v>
      </c>
      <c r="B41" s="71" t="s">
        <v>276</v>
      </c>
      <c r="C41" s="6" t="s">
        <v>695</v>
      </c>
      <c r="D41" s="6" t="s">
        <v>694</v>
      </c>
      <c r="E41" s="119" t="s">
        <v>9</v>
      </c>
      <c r="F41" s="70"/>
      <c r="G41" s="70"/>
      <c r="H41" s="62"/>
    </row>
    <row r="42" spans="1:15" ht="15.75" hidden="1" customHeight="1">
      <c r="A42" s="69" t="s">
        <v>782</v>
      </c>
      <c r="B42" s="12"/>
      <c r="C42" s="12"/>
      <c r="D42" s="12"/>
      <c r="F42" s="70"/>
      <c r="G42" s="70"/>
      <c r="H42" s="62"/>
    </row>
    <row r="43" spans="1:15" ht="15.75" hidden="1" customHeight="1">
      <c r="A43" s="69" t="s">
        <v>84</v>
      </c>
      <c r="C43" s="12"/>
      <c r="D43" s="12"/>
      <c r="F43" s="70"/>
      <c r="G43" s="70"/>
      <c r="H43" s="62"/>
    </row>
    <row r="44" spans="1:15" hidden="1">
      <c r="A44" s="69" t="s">
        <v>85</v>
      </c>
      <c r="C44" s="12"/>
      <c r="D44" s="12"/>
      <c r="E44" s="10"/>
      <c r="F44" s="70"/>
      <c r="G44" s="70"/>
      <c r="H44" s="62"/>
      <c r="O44" s="10"/>
    </row>
    <row r="45" spans="1:15" hidden="1">
      <c r="A45" s="69" t="s">
        <v>76</v>
      </c>
      <c r="C45" s="12"/>
      <c r="D45" s="12"/>
      <c r="E45" s="10"/>
      <c r="F45" s="70"/>
      <c r="G45" s="70"/>
      <c r="H45" s="62"/>
      <c r="O45" s="10"/>
    </row>
    <row r="46" spans="1:15" ht="17.25" hidden="1" customHeight="1">
      <c r="A46" s="69" t="s">
        <v>86</v>
      </c>
      <c r="B46" s="12"/>
      <c r="C46" s="12"/>
      <c r="D46" s="12"/>
      <c r="E46" s="12"/>
      <c r="F46" s="70"/>
      <c r="G46" s="70"/>
      <c r="O46" s="10"/>
    </row>
    <row r="47" spans="1:15" hidden="1">
      <c r="A47" s="69" t="s">
        <v>87</v>
      </c>
      <c r="D47" s="12"/>
      <c r="E47" s="12"/>
      <c r="O47" s="10"/>
    </row>
    <row r="48" spans="1:15" hidden="1">
      <c r="D48" s="12"/>
      <c r="E48" s="12"/>
      <c r="O48" s="10"/>
    </row>
    <row r="49" spans="1:15" hidden="1">
      <c r="A49" s="23" t="s">
        <v>267</v>
      </c>
      <c r="D49" s="12"/>
      <c r="E49" s="12"/>
      <c r="O49" s="10"/>
    </row>
    <row r="50" spans="1:15" hidden="1">
      <c r="D50" s="9" t="s">
        <v>266</v>
      </c>
      <c r="E50" s="12"/>
    </row>
    <row r="51" spans="1:15" hidden="1">
      <c r="D51" s="9">
        <v>1</v>
      </c>
      <c r="E51" s="63" t="s">
        <v>255</v>
      </c>
    </row>
    <row r="52" spans="1:15" hidden="1">
      <c r="D52" s="9">
        <v>2</v>
      </c>
      <c r="E52" s="63" t="s">
        <v>256</v>
      </c>
    </row>
    <row r="53" spans="1:15" hidden="1">
      <c r="D53" s="9">
        <v>3</v>
      </c>
      <c r="E53" s="23" t="s">
        <v>257</v>
      </c>
    </row>
    <row r="54" spans="1:15" hidden="1">
      <c r="A54" s="9" t="s">
        <v>265</v>
      </c>
      <c r="D54" s="13">
        <v>4</v>
      </c>
      <c r="E54" s="23" t="s">
        <v>258</v>
      </c>
    </row>
    <row r="55" spans="1:15" hidden="1">
      <c r="D55" s="13"/>
      <c r="E55" s="23"/>
    </row>
    <row r="56" spans="1:15" ht="15" hidden="1">
      <c r="A56" s="24" t="s">
        <v>77</v>
      </c>
      <c r="B56" s="21" t="s">
        <v>78</v>
      </c>
      <c r="C56" s="21" t="s">
        <v>79</v>
      </c>
      <c r="D56" s="21" t="s">
        <v>259</v>
      </c>
      <c r="E56" s="22" t="s">
        <v>80</v>
      </c>
    </row>
    <row r="57" spans="1:15" hidden="1">
      <c r="A57" s="25" t="s">
        <v>74</v>
      </c>
      <c r="B57" s="69" t="s">
        <v>94</v>
      </c>
      <c r="C57" s="23" t="str">
        <f>CONCATENATE(A57,B57)</f>
        <v>nord, nord-est&lt; 15/08</v>
      </c>
      <c r="D57" s="9">
        <v>1</v>
      </c>
      <c r="E57" s="63" t="str">
        <f t="shared" ref="E57:E92" si="0">VLOOKUP(D57,RDD_semis,2,0)</f>
        <v>Très précoce : Situation idéale au bon développement des couverts</v>
      </c>
    </row>
    <row r="58" spans="1:15" hidden="1">
      <c r="A58" s="25" t="s">
        <v>74</v>
      </c>
      <c r="B58" s="69" t="s">
        <v>218</v>
      </c>
      <c r="C58" s="23" t="str">
        <f>CONCATENATE(A58,B58)</f>
        <v>nord, nord-est16/08 - 20/08</v>
      </c>
      <c r="D58" s="9">
        <v>1</v>
      </c>
      <c r="E58" s="63" t="str">
        <f t="shared" si="0"/>
        <v>Très précoce : Situation idéale au bon développement des couverts</v>
      </c>
    </row>
    <row r="59" spans="1:15" hidden="1">
      <c r="A59" s="25" t="s">
        <v>74</v>
      </c>
      <c r="B59" s="69" t="s">
        <v>217</v>
      </c>
      <c r="C59" s="23" t="str">
        <f t="shared" ref="C59:C65" si="1">CONCATENATE(A59,B59)</f>
        <v>nord, nord-est21/08 - 25/08</v>
      </c>
      <c r="D59" s="9">
        <v>2</v>
      </c>
      <c r="E59" s="63" t="str">
        <f t="shared" si="0"/>
        <v>Précoce : Situation favorable au développement des couverts</v>
      </c>
    </row>
    <row r="60" spans="1:15" hidden="1">
      <c r="A60" s="25" t="s">
        <v>74</v>
      </c>
      <c r="B60" s="69" t="s">
        <v>782</v>
      </c>
      <c r="C60" s="23" t="str">
        <f t="shared" si="1"/>
        <v>nord, nord-est26/08 - 31/08</v>
      </c>
      <c r="D60" s="9">
        <v>3</v>
      </c>
      <c r="E60" s="63" t="str">
        <f t="shared" si="0"/>
        <v>Intermédiaire : Le développement des couverts associés ne sera pas optimal. Essayez d'avancer la date de semis pour favoriser le développement des couverts.</v>
      </c>
    </row>
    <row r="61" spans="1:15" hidden="1">
      <c r="A61" s="25" t="s">
        <v>74</v>
      </c>
      <c r="B61" s="69" t="s">
        <v>84</v>
      </c>
      <c r="C61" s="23" t="str">
        <f t="shared" si="1"/>
        <v>nord, nord-est 01/09 - 05/09</v>
      </c>
      <c r="D61" s="9">
        <v>3</v>
      </c>
      <c r="E61" s="63" t="str">
        <f t="shared" si="0"/>
        <v>Intermédiaire : Le développement des couverts associés ne sera pas optimal. Essayez d'avancer la date de semis pour favoriser le développement des couverts.</v>
      </c>
    </row>
    <row r="62" spans="1:15" hidden="1">
      <c r="A62" s="25" t="s">
        <v>74</v>
      </c>
      <c r="B62" s="69" t="s">
        <v>85</v>
      </c>
      <c r="C62" s="23" t="str">
        <f t="shared" si="1"/>
        <v>nord, nord-est06/09 - 10/09</v>
      </c>
      <c r="D62" s="13">
        <v>4</v>
      </c>
      <c r="E62" s="63" t="str">
        <f t="shared" si="0"/>
        <v>Tardive : Les couverts risquent de ne pas se développer suffisamment pour fournir des services</v>
      </c>
    </row>
    <row r="63" spans="1:15" hidden="1">
      <c r="A63" s="25" t="s">
        <v>74</v>
      </c>
      <c r="B63" s="69" t="s">
        <v>76</v>
      </c>
      <c r="C63" s="23" t="str">
        <f t="shared" si="1"/>
        <v>nord, nord-est11/09 - 15/09</v>
      </c>
      <c r="D63" s="13">
        <v>4</v>
      </c>
      <c r="E63" s="63" t="str">
        <f t="shared" si="0"/>
        <v>Tardive : Les couverts risquent de ne pas se développer suffisamment pour fournir des services</v>
      </c>
    </row>
    <row r="64" spans="1:15" hidden="1">
      <c r="A64" s="25" t="s">
        <v>74</v>
      </c>
      <c r="B64" s="69" t="s">
        <v>86</v>
      </c>
      <c r="C64" s="23" t="str">
        <f t="shared" si="1"/>
        <v>nord, nord-est16/09 - 20/09</v>
      </c>
      <c r="D64" s="13">
        <v>4</v>
      </c>
      <c r="E64" s="63" t="str">
        <f t="shared" si="0"/>
        <v>Tardive : Les couverts risquent de ne pas se développer suffisamment pour fournir des services</v>
      </c>
    </row>
    <row r="65" spans="1:5" hidden="1">
      <c r="A65" s="25" t="s">
        <v>74</v>
      </c>
      <c r="B65" s="69" t="s">
        <v>87</v>
      </c>
      <c r="C65" s="23" t="str">
        <f t="shared" si="1"/>
        <v>nord, nord-est&gt; 20/09</v>
      </c>
      <c r="D65" s="13">
        <v>4</v>
      </c>
      <c r="E65" s="63" t="str">
        <f t="shared" si="0"/>
        <v>Tardive : Les couverts risquent de ne pas se développer suffisamment pour fournir des services</v>
      </c>
    </row>
    <row r="66" spans="1:5" hidden="1">
      <c r="A66" s="25" t="s">
        <v>81</v>
      </c>
      <c r="B66" s="69" t="s">
        <v>94</v>
      </c>
      <c r="C66" s="23" t="str">
        <f t="shared" ref="C66:C92" si="2">CONCATENATE(A66,B66)</f>
        <v>sud&lt; 15/08</v>
      </c>
      <c r="D66" s="9">
        <v>1</v>
      </c>
      <c r="E66" s="63" t="str">
        <f t="shared" si="0"/>
        <v>Très précoce : Situation idéale au bon développement des couverts</v>
      </c>
    </row>
    <row r="67" spans="1:5" hidden="1">
      <c r="A67" s="25" t="s">
        <v>81</v>
      </c>
      <c r="B67" s="69" t="s">
        <v>218</v>
      </c>
      <c r="C67" s="23" t="str">
        <f t="shared" si="2"/>
        <v>sud16/08 - 20/08</v>
      </c>
      <c r="D67" s="9">
        <v>1</v>
      </c>
      <c r="E67" s="63" t="str">
        <f t="shared" si="0"/>
        <v>Très précoce : Situation idéale au bon développement des couverts</v>
      </c>
    </row>
    <row r="68" spans="1:5" hidden="1">
      <c r="A68" s="25" t="s">
        <v>81</v>
      </c>
      <c r="B68" s="69" t="s">
        <v>217</v>
      </c>
      <c r="C68" s="23" t="str">
        <f t="shared" si="2"/>
        <v>sud21/08 - 25/08</v>
      </c>
      <c r="D68" s="9">
        <v>1</v>
      </c>
      <c r="E68" s="63" t="str">
        <f t="shared" si="0"/>
        <v>Très précoce : Situation idéale au bon développement des couverts</v>
      </c>
    </row>
    <row r="69" spans="1:5" hidden="1">
      <c r="A69" s="25" t="s">
        <v>81</v>
      </c>
      <c r="B69" s="69" t="s">
        <v>782</v>
      </c>
      <c r="C69" s="23" t="str">
        <f t="shared" si="2"/>
        <v>sud26/08 - 31/08</v>
      </c>
      <c r="D69" s="9">
        <v>2</v>
      </c>
      <c r="E69" s="63" t="str">
        <f t="shared" si="0"/>
        <v>Précoce : Situation favorable au développement des couverts</v>
      </c>
    </row>
    <row r="70" spans="1:5" hidden="1">
      <c r="A70" s="25" t="s">
        <v>81</v>
      </c>
      <c r="B70" s="69" t="s">
        <v>84</v>
      </c>
      <c r="C70" s="23" t="str">
        <f t="shared" si="2"/>
        <v>sud 01/09 - 05/09</v>
      </c>
      <c r="D70" s="9">
        <v>3</v>
      </c>
      <c r="E70" s="63" t="str">
        <f t="shared" si="0"/>
        <v>Intermédiaire : Le développement des couverts associés ne sera pas optimal. Essayez d'avancer la date de semis pour favoriser le développement des couverts.</v>
      </c>
    </row>
    <row r="71" spans="1:5" hidden="1">
      <c r="A71" s="25" t="s">
        <v>81</v>
      </c>
      <c r="B71" s="69" t="s">
        <v>85</v>
      </c>
      <c r="C71" s="23" t="str">
        <f t="shared" si="2"/>
        <v>sud06/09 - 10/09</v>
      </c>
      <c r="D71" s="9">
        <v>3</v>
      </c>
      <c r="E71" s="63" t="str">
        <f t="shared" si="0"/>
        <v>Intermédiaire : Le développement des couverts associés ne sera pas optimal. Essayez d'avancer la date de semis pour favoriser le développement des couverts.</v>
      </c>
    </row>
    <row r="72" spans="1:5" hidden="1">
      <c r="A72" s="25" t="s">
        <v>81</v>
      </c>
      <c r="B72" s="69" t="s">
        <v>76</v>
      </c>
      <c r="C72" s="23" t="str">
        <f t="shared" si="2"/>
        <v>sud11/09 - 15/09</v>
      </c>
      <c r="D72" s="9">
        <v>3</v>
      </c>
      <c r="E72" s="63" t="str">
        <f t="shared" si="0"/>
        <v>Intermédiaire : Le développement des couverts associés ne sera pas optimal. Essayez d'avancer la date de semis pour favoriser le développement des couverts.</v>
      </c>
    </row>
    <row r="73" spans="1:5" ht="15" hidden="1" customHeight="1">
      <c r="A73" s="25" t="s">
        <v>81</v>
      </c>
      <c r="B73" s="69" t="s">
        <v>86</v>
      </c>
      <c r="C73" s="23" t="str">
        <f t="shared" si="2"/>
        <v>sud16/09 - 20/09</v>
      </c>
      <c r="D73" s="9">
        <v>3</v>
      </c>
      <c r="E73" s="63" t="str">
        <f t="shared" si="0"/>
        <v>Intermédiaire : Le développement des couverts associés ne sera pas optimal. Essayez d'avancer la date de semis pour favoriser le développement des couverts.</v>
      </c>
    </row>
    <row r="74" spans="1:5" hidden="1">
      <c r="A74" s="25" t="s">
        <v>81</v>
      </c>
      <c r="B74" s="69" t="s">
        <v>87</v>
      </c>
      <c r="C74" s="23" t="str">
        <f t="shared" si="2"/>
        <v>sud&gt; 20/09</v>
      </c>
      <c r="D74" s="13">
        <v>4</v>
      </c>
      <c r="E74" s="63" t="str">
        <f t="shared" si="0"/>
        <v>Tardive : Les couverts risquent de ne pas se développer suffisamment pour fournir des services</v>
      </c>
    </row>
    <row r="75" spans="1:5" hidden="1">
      <c r="A75" s="25" t="s">
        <v>82</v>
      </c>
      <c r="B75" s="69" t="s">
        <v>94</v>
      </c>
      <c r="C75" s="23" t="str">
        <f t="shared" si="2"/>
        <v>ouest&lt; 15/08</v>
      </c>
      <c r="D75" s="9">
        <v>1</v>
      </c>
      <c r="E75" s="63" t="str">
        <f t="shared" si="0"/>
        <v>Très précoce : Situation idéale au bon développement des couverts</v>
      </c>
    </row>
    <row r="76" spans="1:5" hidden="1">
      <c r="A76" s="25" t="s">
        <v>82</v>
      </c>
      <c r="B76" s="69" t="s">
        <v>218</v>
      </c>
      <c r="C76" s="23" t="str">
        <f t="shared" si="2"/>
        <v>ouest16/08 - 20/08</v>
      </c>
      <c r="D76" s="9">
        <v>1</v>
      </c>
      <c r="E76" s="63" t="str">
        <f t="shared" si="0"/>
        <v>Très précoce : Situation idéale au bon développement des couverts</v>
      </c>
    </row>
    <row r="77" spans="1:5" hidden="1">
      <c r="A77" s="25" t="s">
        <v>82</v>
      </c>
      <c r="B77" s="69" t="s">
        <v>217</v>
      </c>
      <c r="C77" s="23" t="str">
        <f t="shared" si="2"/>
        <v>ouest21/08 - 25/08</v>
      </c>
      <c r="D77" s="9">
        <v>1</v>
      </c>
      <c r="E77" s="63" t="str">
        <f t="shared" si="0"/>
        <v>Très précoce : Situation idéale au bon développement des couverts</v>
      </c>
    </row>
    <row r="78" spans="1:5" hidden="1">
      <c r="A78" s="25" t="s">
        <v>82</v>
      </c>
      <c r="B78" s="69" t="s">
        <v>782</v>
      </c>
      <c r="C78" s="23" t="str">
        <f t="shared" si="2"/>
        <v>ouest26/08 - 31/08</v>
      </c>
      <c r="D78" s="9">
        <v>2</v>
      </c>
      <c r="E78" s="63" t="str">
        <f t="shared" si="0"/>
        <v>Précoce : Situation favorable au développement des couverts</v>
      </c>
    </row>
    <row r="79" spans="1:5" hidden="1">
      <c r="A79" s="25" t="s">
        <v>82</v>
      </c>
      <c r="B79" s="69" t="s">
        <v>84</v>
      </c>
      <c r="C79" s="23" t="str">
        <f t="shared" si="2"/>
        <v>ouest 01/09 - 05/09</v>
      </c>
      <c r="D79" s="9">
        <v>3</v>
      </c>
      <c r="E79" s="63" t="str">
        <f t="shared" si="0"/>
        <v>Intermédiaire : Le développement des couverts associés ne sera pas optimal. Essayez d'avancer la date de semis pour favoriser le développement des couverts.</v>
      </c>
    </row>
    <row r="80" spans="1:5" hidden="1">
      <c r="A80" s="25" t="s">
        <v>82</v>
      </c>
      <c r="B80" s="69" t="s">
        <v>85</v>
      </c>
      <c r="C80" s="23" t="str">
        <f t="shared" si="2"/>
        <v>ouest06/09 - 10/09</v>
      </c>
      <c r="D80" s="13">
        <v>4</v>
      </c>
      <c r="E80" s="63" t="str">
        <f t="shared" si="0"/>
        <v>Tardive : Les couverts risquent de ne pas se développer suffisamment pour fournir des services</v>
      </c>
    </row>
    <row r="81" spans="1:5" hidden="1">
      <c r="A81" s="25" t="s">
        <v>82</v>
      </c>
      <c r="B81" s="69" t="s">
        <v>76</v>
      </c>
      <c r="C81" s="23" t="str">
        <f t="shared" si="2"/>
        <v>ouest11/09 - 15/09</v>
      </c>
      <c r="D81" s="13">
        <v>4</v>
      </c>
      <c r="E81" s="63" t="str">
        <f t="shared" si="0"/>
        <v>Tardive : Les couverts risquent de ne pas se développer suffisamment pour fournir des services</v>
      </c>
    </row>
    <row r="82" spans="1:5" hidden="1">
      <c r="A82" s="25" t="s">
        <v>82</v>
      </c>
      <c r="B82" s="69" t="s">
        <v>86</v>
      </c>
      <c r="C82" s="23" t="str">
        <f t="shared" si="2"/>
        <v>ouest16/09 - 20/09</v>
      </c>
      <c r="D82" s="13">
        <v>4</v>
      </c>
      <c r="E82" s="63" t="str">
        <f t="shared" si="0"/>
        <v>Tardive : Les couverts risquent de ne pas se développer suffisamment pour fournir des services</v>
      </c>
    </row>
    <row r="83" spans="1:5" hidden="1">
      <c r="A83" s="25" t="s">
        <v>83</v>
      </c>
      <c r="B83" s="69" t="s">
        <v>87</v>
      </c>
      <c r="C83" s="23" t="str">
        <f t="shared" si="2"/>
        <v>centre, est&gt; 20/09</v>
      </c>
      <c r="D83" s="13">
        <v>4</v>
      </c>
      <c r="E83" s="63" t="str">
        <f t="shared" si="0"/>
        <v>Tardive : Les couverts risquent de ne pas se développer suffisamment pour fournir des services</v>
      </c>
    </row>
    <row r="84" spans="1:5" hidden="1">
      <c r="A84" s="25" t="s">
        <v>83</v>
      </c>
      <c r="B84" s="69" t="s">
        <v>94</v>
      </c>
      <c r="C84" s="23" t="str">
        <f t="shared" si="2"/>
        <v>centre, est&lt; 15/08</v>
      </c>
      <c r="D84" s="9">
        <v>1</v>
      </c>
      <c r="E84" s="63" t="str">
        <f t="shared" si="0"/>
        <v>Très précoce : Situation idéale au bon développement des couverts</v>
      </c>
    </row>
    <row r="85" spans="1:5" hidden="1">
      <c r="A85" s="25" t="s">
        <v>83</v>
      </c>
      <c r="B85" s="69" t="s">
        <v>218</v>
      </c>
      <c r="C85" s="23" t="str">
        <f t="shared" si="2"/>
        <v>centre, est16/08 - 20/08</v>
      </c>
      <c r="D85" s="9">
        <v>1</v>
      </c>
      <c r="E85" s="63" t="str">
        <f t="shared" si="0"/>
        <v>Très précoce : Situation idéale au bon développement des couverts</v>
      </c>
    </row>
    <row r="86" spans="1:5" hidden="1">
      <c r="A86" s="25" t="s">
        <v>83</v>
      </c>
      <c r="B86" s="69" t="s">
        <v>217</v>
      </c>
      <c r="C86" s="23" t="str">
        <f t="shared" si="2"/>
        <v>centre, est21/08 - 25/08</v>
      </c>
      <c r="D86" s="9">
        <v>1</v>
      </c>
      <c r="E86" s="63" t="str">
        <f t="shared" si="0"/>
        <v>Très précoce : Situation idéale au bon développement des couverts</v>
      </c>
    </row>
    <row r="87" spans="1:5" hidden="1">
      <c r="A87" s="25" t="s">
        <v>83</v>
      </c>
      <c r="B87" s="69" t="s">
        <v>782</v>
      </c>
      <c r="C87" s="23" t="str">
        <f t="shared" si="2"/>
        <v>centre, est26/08 - 31/08</v>
      </c>
      <c r="D87" s="9">
        <v>2</v>
      </c>
      <c r="E87" s="63" t="str">
        <f t="shared" si="0"/>
        <v>Précoce : Situation favorable au développement des couverts</v>
      </c>
    </row>
    <row r="88" spans="1:5" hidden="1">
      <c r="A88" s="25" t="s">
        <v>83</v>
      </c>
      <c r="B88" s="69" t="s">
        <v>84</v>
      </c>
      <c r="C88" s="23" t="str">
        <f t="shared" si="2"/>
        <v>centre, est 01/09 - 05/09</v>
      </c>
      <c r="D88" s="9">
        <v>3</v>
      </c>
      <c r="E88" s="63" t="str">
        <f t="shared" si="0"/>
        <v>Intermédiaire : Le développement des couverts associés ne sera pas optimal. Essayez d'avancer la date de semis pour favoriser le développement des couverts.</v>
      </c>
    </row>
    <row r="89" spans="1:5" hidden="1">
      <c r="A89" s="25" t="s">
        <v>83</v>
      </c>
      <c r="B89" s="69" t="s">
        <v>85</v>
      </c>
      <c r="C89" s="23" t="str">
        <f t="shared" si="2"/>
        <v>centre, est06/09 - 10/09</v>
      </c>
      <c r="D89" s="9">
        <v>3</v>
      </c>
      <c r="E89" s="63" t="str">
        <f t="shared" si="0"/>
        <v>Intermédiaire : Le développement des couverts associés ne sera pas optimal. Essayez d'avancer la date de semis pour favoriser le développement des couverts.</v>
      </c>
    </row>
    <row r="90" spans="1:5" hidden="1">
      <c r="A90" s="25" t="s">
        <v>83</v>
      </c>
      <c r="B90" s="69" t="s">
        <v>76</v>
      </c>
      <c r="C90" s="23" t="str">
        <f t="shared" si="2"/>
        <v>centre, est11/09 - 15/09</v>
      </c>
      <c r="D90" s="13">
        <v>4</v>
      </c>
      <c r="E90" s="63" t="str">
        <f t="shared" si="0"/>
        <v>Tardive : Les couverts risquent de ne pas se développer suffisamment pour fournir des services</v>
      </c>
    </row>
    <row r="91" spans="1:5" hidden="1">
      <c r="A91" s="25" t="s">
        <v>83</v>
      </c>
      <c r="B91" s="69" t="s">
        <v>86</v>
      </c>
      <c r="C91" s="23" t="str">
        <f t="shared" si="2"/>
        <v>centre, est16/09 - 20/09</v>
      </c>
      <c r="D91" s="13">
        <v>4</v>
      </c>
      <c r="E91" s="63" t="str">
        <f t="shared" si="0"/>
        <v>Tardive : Les couverts risquent de ne pas se développer suffisamment pour fournir des services</v>
      </c>
    </row>
    <row r="92" spans="1:5" hidden="1">
      <c r="A92" s="25" t="s">
        <v>83</v>
      </c>
      <c r="B92" s="69" t="s">
        <v>87</v>
      </c>
      <c r="C92" s="23" t="str">
        <f t="shared" si="2"/>
        <v>centre, est&gt; 20/09</v>
      </c>
      <c r="D92" s="13">
        <v>4</v>
      </c>
      <c r="E92" s="63" t="str">
        <f t="shared" si="0"/>
        <v>Tardive : Les couverts risquent de ne pas se développer suffisamment pour fournir des services</v>
      </c>
    </row>
    <row r="93" spans="1:5" hidden="1"/>
    <row r="94" spans="1:5" hidden="1">
      <c r="A94" s="25" t="s">
        <v>268</v>
      </c>
    </row>
    <row r="95" spans="1:5" hidden="1">
      <c r="A95" s="9" t="s">
        <v>97</v>
      </c>
      <c r="B95" s="9" t="s">
        <v>100</v>
      </c>
      <c r="C95" s="9" t="s">
        <v>101</v>
      </c>
      <c r="D95" s="30" t="s">
        <v>102</v>
      </c>
      <c r="E95" s="9"/>
    </row>
    <row r="96" spans="1:5" hidden="1">
      <c r="A96" s="73" t="s">
        <v>98</v>
      </c>
      <c r="B96" s="9" t="s">
        <v>83</v>
      </c>
      <c r="C96" s="9" t="s">
        <v>9</v>
      </c>
      <c r="D96" s="30" t="s">
        <v>7</v>
      </c>
      <c r="E96" s="9"/>
    </row>
    <row r="97" spans="1:5" hidden="1">
      <c r="A97" s="73" t="s">
        <v>99</v>
      </c>
      <c r="B97" s="9" t="s">
        <v>74</v>
      </c>
      <c r="C97" s="9" t="s">
        <v>8</v>
      </c>
      <c r="D97" s="30" t="s">
        <v>8</v>
      </c>
      <c r="E97" s="9"/>
    </row>
    <row r="98" spans="1:5" hidden="1">
      <c r="A98" s="73" t="s">
        <v>105</v>
      </c>
      <c r="B98" s="9" t="s">
        <v>83</v>
      </c>
      <c r="C98" s="9" t="s">
        <v>9</v>
      </c>
      <c r="D98" s="30" t="s">
        <v>7</v>
      </c>
      <c r="E98" s="9"/>
    </row>
    <row r="99" spans="1:5" hidden="1">
      <c r="A99" s="73" t="s">
        <v>106</v>
      </c>
      <c r="B99" s="9" t="s">
        <v>83</v>
      </c>
      <c r="C99" s="9" t="s">
        <v>9</v>
      </c>
      <c r="D99" s="30" t="s">
        <v>9</v>
      </c>
      <c r="E99" s="9"/>
    </row>
    <row r="100" spans="1:5" hidden="1">
      <c r="A100" s="73" t="s">
        <v>107</v>
      </c>
      <c r="B100" s="9" t="s">
        <v>83</v>
      </c>
      <c r="C100" s="9" t="s">
        <v>9</v>
      </c>
      <c r="D100" s="30" t="s">
        <v>7</v>
      </c>
      <c r="E100" s="9"/>
    </row>
    <row r="101" spans="1:5" hidden="1">
      <c r="A101" s="73" t="s">
        <v>108</v>
      </c>
      <c r="B101" s="9" t="s">
        <v>83</v>
      </c>
      <c r="C101" s="9" t="s">
        <v>9</v>
      </c>
      <c r="D101" s="30" t="s">
        <v>8</v>
      </c>
      <c r="E101" s="9"/>
    </row>
    <row r="102" spans="1:5" hidden="1">
      <c r="A102" s="73" t="s">
        <v>109</v>
      </c>
      <c r="B102" s="9" t="s">
        <v>83</v>
      </c>
      <c r="C102" s="9" t="s">
        <v>9</v>
      </c>
      <c r="D102" s="30" t="s">
        <v>8</v>
      </c>
      <c r="E102" s="9"/>
    </row>
    <row r="103" spans="1:5" hidden="1">
      <c r="A103" s="73" t="s">
        <v>110</v>
      </c>
      <c r="B103" s="9" t="s">
        <v>74</v>
      </c>
      <c r="C103" s="9" t="s">
        <v>9</v>
      </c>
      <c r="D103" s="30" t="s">
        <v>7</v>
      </c>
      <c r="E103" s="9"/>
    </row>
    <row r="104" spans="1:5" hidden="1">
      <c r="A104" s="73" t="s">
        <v>111</v>
      </c>
      <c r="B104" s="9" t="s">
        <v>83</v>
      </c>
      <c r="C104" s="9" t="s">
        <v>9</v>
      </c>
      <c r="D104" s="30" t="s">
        <v>8</v>
      </c>
      <c r="E104" s="9"/>
    </row>
    <row r="105" spans="1:5" hidden="1">
      <c r="A105" s="73" t="s">
        <v>112</v>
      </c>
      <c r="B105" s="9" t="s">
        <v>74</v>
      </c>
      <c r="C105" s="9" t="s">
        <v>8</v>
      </c>
      <c r="D105" s="30" t="s">
        <v>8</v>
      </c>
      <c r="E105" s="9"/>
    </row>
    <row r="106" spans="1:5" hidden="1">
      <c r="A106" s="73" t="s">
        <v>113</v>
      </c>
      <c r="B106" s="9" t="s">
        <v>83</v>
      </c>
      <c r="C106" s="9" t="s">
        <v>7</v>
      </c>
      <c r="D106" s="30" t="s">
        <v>9</v>
      </c>
      <c r="E106" s="9"/>
    </row>
    <row r="107" spans="1:5" hidden="1">
      <c r="A107" s="73" t="s">
        <v>114</v>
      </c>
      <c r="B107" s="9" t="s">
        <v>83</v>
      </c>
      <c r="C107" s="9" t="s">
        <v>9</v>
      </c>
      <c r="D107" s="30" t="s">
        <v>8</v>
      </c>
      <c r="E107" s="9"/>
    </row>
    <row r="108" spans="1:5" hidden="1">
      <c r="A108" s="73" t="s">
        <v>115</v>
      </c>
      <c r="B108" s="9" t="s">
        <v>81</v>
      </c>
      <c r="C108" s="9" t="s">
        <v>7</v>
      </c>
      <c r="D108" s="30" t="s">
        <v>9</v>
      </c>
      <c r="E108" s="9"/>
    </row>
    <row r="109" spans="1:5" hidden="1">
      <c r="A109" s="73" t="s">
        <v>116</v>
      </c>
      <c r="B109" s="9" t="s">
        <v>82</v>
      </c>
      <c r="C109" s="9" t="s">
        <v>7</v>
      </c>
      <c r="D109" s="30" t="s">
        <v>8</v>
      </c>
      <c r="E109" s="9"/>
    </row>
    <row r="110" spans="1:5" hidden="1">
      <c r="A110" s="73" t="s">
        <v>117</v>
      </c>
      <c r="B110" s="9" t="s">
        <v>83</v>
      </c>
      <c r="C110" s="9" t="s">
        <v>9</v>
      </c>
      <c r="D110" s="30" t="s">
        <v>7</v>
      </c>
      <c r="E110" s="9"/>
    </row>
    <row r="111" spans="1:5" hidden="1">
      <c r="A111" s="73" t="s">
        <v>118</v>
      </c>
      <c r="B111" s="9" t="s">
        <v>82</v>
      </c>
      <c r="C111" s="9" t="s">
        <v>7</v>
      </c>
      <c r="D111" s="30" t="s">
        <v>8</v>
      </c>
      <c r="E111" s="9"/>
    </row>
    <row r="112" spans="1:5" hidden="1">
      <c r="A112" s="73" t="s">
        <v>119</v>
      </c>
      <c r="B112" s="9" t="s">
        <v>82</v>
      </c>
      <c r="C112" s="9" t="s">
        <v>7</v>
      </c>
      <c r="D112" s="30" t="s">
        <v>9</v>
      </c>
      <c r="E112" s="9"/>
    </row>
    <row r="113" spans="1:5" hidden="1">
      <c r="A113" s="73" t="s">
        <v>120</v>
      </c>
      <c r="B113" s="9" t="s">
        <v>83</v>
      </c>
      <c r="C113" s="9" t="s">
        <v>8</v>
      </c>
      <c r="D113" s="30" t="s">
        <v>8</v>
      </c>
      <c r="E113" s="9"/>
    </row>
    <row r="114" spans="1:5" hidden="1">
      <c r="A114" s="73" t="s">
        <v>121</v>
      </c>
      <c r="B114" s="9" t="s">
        <v>82</v>
      </c>
      <c r="C114" s="9" t="s">
        <v>8</v>
      </c>
      <c r="D114" s="30" t="s">
        <v>7</v>
      </c>
      <c r="E114" s="9"/>
    </row>
    <row r="115" spans="1:5" hidden="1">
      <c r="A115" s="73" t="s">
        <v>122</v>
      </c>
      <c r="B115" s="9" t="s">
        <v>83</v>
      </c>
      <c r="C115" s="9" t="s">
        <v>9</v>
      </c>
      <c r="D115" s="30" t="s">
        <v>8</v>
      </c>
      <c r="E115" s="9"/>
    </row>
    <row r="116" spans="1:5" hidden="1">
      <c r="A116" s="73" t="s">
        <v>123</v>
      </c>
      <c r="B116" s="9" t="s">
        <v>82</v>
      </c>
      <c r="C116" s="9" t="s">
        <v>7</v>
      </c>
      <c r="D116" s="30" t="s">
        <v>8</v>
      </c>
      <c r="E116" s="9"/>
    </row>
    <row r="117" spans="1:5" hidden="1">
      <c r="A117" s="73" t="s">
        <v>124</v>
      </c>
      <c r="B117" s="9" t="s">
        <v>82</v>
      </c>
      <c r="C117" s="9" t="s">
        <v>8</v>
      </c>
      <c r="D117" s="30" t="s">
        <v>7</v>
      </c>
      <c r="E117" s="9"/>
    </row>
    <row r="118" spans="1:5" hidden="1">
      <c r="A118" s="73" t="s">
        <v>125</v>
      </c>
      <c r="B118" s="9" t="s">
        <v>83</v>
      </c>
      <c r="C118" s="9" t="s">
        <v>8</v>
      </c>
      <c r="D118" s="30" t="s">
        <v>8</v>
      </c>
      <c r="E118" s="9"/>
    </row>
    <row r="119" spans="1:5" hidden="1">
      <c r="A119" s="73" t="s">
        <v>126</v>
      </c>
      <c r="B119" s="9" t="s">
        <v>83</v>
      </c>
      <c r="C119" s="9" t="s">
        <v>9</v>
      </c>
      <c r="D119" s="30" t="s">
        <v>7</v>
      </c>
      <c r="E119" s="9"/>
    </row>
    <row r="120" spans="1:5" hidden="1">
      <c r="A120" s="73" t="s">
        <v>127</v>
      </c>
      <c r="B120" s="9" t="s">
        <v>83</v>
      </c>
      <c r="C120" s="9" t="s">
        <v>9</v>
      </c>
      <c r="D120" s="30" t="s">
        <v>8</v>
      </c>
      <c r="E120" s="9"/>
    </row>
    <row r="121" spans="1:5" hidden="1">
      <c r="A121" s="73" t="s">
        <v>128</v>
      </c>
      <c r="B121" s="9" t="s">
        <v>83</v>
      </c>
      <c r="C121" s="9" t="s">
        <v>8</v>
      </c>
      <c r="D121" s="30" t="s">
        <v>8</v>
      </c>
      <c r="E121" s="9"/>
    </row>
    <row r="122" spans="1:5" hidden="1">
      <c r="A122" s="73" t="s">
        <v>129</v>
      </c>
      <c r="B122" s="9" t="s">
        <v>83</v>
      </c>
      <c r="C122" s="9" t="s">
        <v>8</v>
      </c>
      <c r="D122" s="30" t="s">
        <v>9</v>
      </c>
      <c r="E122" s="9"/>
    </row>
    <row r="123" spans="1:5" hidden="1">
      <c r="A123" s="73" t="s">
        <v>130</v>
      </c>
      <c r="B123" s="9" t="s">
        <v>82</v>
      </c>
      <c r="C123" s="9" t="s">
        <v>7</v>
      </c>
      <c r="D123" s="30" t="s">
        <v>7</v>
      </c>
      <c r="E123" s="9"/>
    </row>
    <row r="124" spans="1:5" hidden="1">
      <c r="A124" s="73" t="s">
        <v>131</v>
      </c>
      <c r="B124" s="9" t="s">
        <v>81</v>
      </c>
      <c r="C124" s="9" t="s">
        <v>7</v>
      </c>
      <c r="D124" s="30" t="s">
        <v>8</v>
      </c>
      <c r="E124" s="9"/>
    </row>
    <row r="125" spans="1:5" hidden="1">
      <c r="A125" s="73" t="s">
        <v>132</v>
      </c>
      <c r="B125" s="9" t="s">
        <v>83</v>
      </c>
      <c r="C125" s="9" t="s">
        <v>7</v>
      </c>
      <c r="D125" s="30" t="s">
        <v>9</v>
      </c>
      <c r="E125" s="9"/>
    </row>
    <row r="126" spans="1:5" hidden="1">
      <c r="A126" s="73" t="s">
        <v>133</v>
      </c>
      <c r="B126" s="9" t="s">
        <v>83</v>
      </c>
      <c r="C126" s="9" t="s">
        <v>7</v>
      </c>
      <c r="D126" s="30" t="s">
        <v>9</v>
      </c>
      <c r="E126" s="9"/>
    </row>
    <row r="127" spans="1:5" hidden="1">
      <c r="A127" s="73" t="s">
        <v>134</v>
      </c>
      <c r="B127" s="9" t="s">
        <v>83</v>
      </c>
      <c r="C127" s="9" t="s">
        <v>7</v>
      </c>
      <c r="D127" s="30" t="s">
        <v>9</v>
      </c>
      <c r="E127" s="9"/>
    </row>
    <row r="128" spans="1:5" hidden="1">
      <c r="A128" s="73" t="s">
        <v>135</v>
      </c>
      <c r="B128" s="9" t="s">
        <v>81</v>
      </c>
      <c r="C128" s="9" t="s">
        <v>8</v>
      </c>
      <c r="D128" s="30" t="s">
        <v>9</v>
      </c>
      <c r="E128" s="9"/>
    </row>
    <row r="129" spans="1:5" hidden="1">
      <c r="A129" s="73" t="s">
        <v>136</v>
      </c>
      <c r="B129" s="9" t="s">
        <v>82</v>
      </c>
      <c r="C129" s="9" t="s">
        <v>7</v>
      </c>
      <c r="D129" s="30" t="s">
        <v>8</v>
      </c>
      <c r="E129" s="9"/>
    </row>
    <row r="130" spans="1:5" hidden="1">
      <c r="A130" s="73" t="s">
        <v>137</v>
      </c>
      <c r="B130" s="9" t="s">
        <v>83</v>
      </c>
      <c r="C130" s="9" t="s">
        <v>8</v>
      </c>
      <c r="D130" s="30" t="s">
        <v>8</v>
      </c>
      <c r="E130" s="9"/>
    </row>
    <row r="131" spans="1:5" hidden="1">
      <c r="A131" s="73" t="s">
        <v>138</v>
      </c>
      <c r="B131" s="9" t="s">
        <v>83</v>
      </c>
      <c r="C131" s="9" t="s">
        <v>7</v>
      </c>
      <c r="D131" s="30" t="s">
        <v>9</v>
      </c>
      <c r="E131" s="9"/>
    </row>
    <row r="132" spans="1:5" hidden="1">
      <c r="A132" s="73" t="s">
        <v>139</v>
      </c>
      <c r="B132" s="9" t="s">
        <v>83</v>
      </c>
      <c r="C132" s="9" t="s">
        <v>9</v>
      </c>
      <c r="D132" s="30" t="s">
        <v>7</v>
      </c>
      <c r="E132" s="9"/>
    </row>
    <row r="133" spans="1:5" hidden="1">
      <c r="A133" s="73" t="s">
        <v>140</v>
      </c>
      <c r="B133" s="9" t="s">
        <v>83</v>
      </c>
      <c r="C133" s="9" t="s">
        <v>9</v>
      </c>
      <c r="D133" s="30" t="s">
        <v>7</v>
      </c>
      <c r="E133" s="9"/>
    </row>
    <row r="134" spans="1:5" hidden="1">
      <c r="A134" s="73" t="s">
        <v>141</v>
      </c>
      <c r="B134" s="9" t="s">
        <v>83</v>
      </c>
      <c r="C134" s="9" t="s">
        <v>7</v>
      </c>
      <c r="D134" s="30" t="s">
        <v>8</v>
      </c>
      <c r="E134" s="9"/>
    </row>
    <row r="135" spans="1:5" hidden="1">
      <c r="A135" s="73" t="s">
        <v>142</v>
      </c>
      <c r="B135" s="9" t="s">
        <v>83</v>
      </c>
      <c r="C135" s="9" t="s">
        <v>8</v>
      </c>
      <c r="D135" s="30" t="s">
        <v>9</v>
      </c>
      <c r="E135" s="9"/>
    </row>
    <row r="136" spans="1:5" hidden="1">
      <c r="A136" s="73" t="s">
        <v>143</v>
      </c>
      <c r="B136" s="9" t="s">
        <v>83</v>
      </c>
      <c r="C136" s="9" t="s">
        <v>9</v>
      </c>
      <c r="D136" s="30" t="s">
        <v>7</v>
      </c>
      <c r="E136" s="9"/>
    </row>
    <row r="137" spans="1:5" hidden="1">
      <c r="A137" s="73" t="s">
        <v>144</v>
      </c>
      <c r="B137" s="9" t="s">
        <v>83</v>
      </c>
      <c r="C137" s="9" t="s">
        <v>9</v>
      </c>
      <c r="D137" s="30" t="s">
        <v>7</v>
      </c>
      <c r="E137" s="9"/>
    </row>
    <row r="138" spans="1:5" hidden="1">
      <c r="A138" s="73" t="s">
        <v>145</v>
      </c>
      <c r="B138" s="9" t="s">
        <v>82</v>
      </c>
      <c r="C138" s="9" t="s">
        <v>7</v>
      </c>
      <c r="D138" s="30" t="s">
        <v>9</v>
      </c>
      <c r="E138" s="9"/>
    </row>
    <row r="139" spans="1:5" hidden="1">
      <c r="A139" s="73" t="s">
        <v>146</v>
      </c>
      <c r="B139" s="9" t="s">
        <v>83</v>
      </c>
      <c r="C139" s="9" t="s">
        <v>8</v>
      </c>
      <c r="D139" s="30" t="s">
        <v>9</v>
      </c>
      <c r="E139" s="9"/>
    </row>
    <row r="140" spans="1:5" hidden="1">
      <c r="A140" s="73" t="s">
        <v>147</v>
      </c>
      <c r="B140" s="9" t="s">
        <v>83</v>
      </c>
      <c r="C140" s="9" t="s">
        <v>8</v>
      </c>
      <c r="D140" s="30" t="s">
        <v>8</v>
      </c>
      <c r="E140" s="9"/>
    </row>
    <row r="141" spans="1:5" hidden="1">
      <c r="A141" s="73" t="s">
        <v>148</v>
      </c>
      <c r="B141" s="9" t="s">
        <v>83</v>
      </c>
      <c r="C141" s="9" t="s">
        <v>7</v>
      </c>
      <c r="D141" s="30" t="s">
        <v>9</v>
      </c>
      <c r="E141" s="9"/>
    </row>
    <row r="142" spans="1:5" hidden="1">
      <c r="A142" s="73" t="s">
        <v>149</v>
      </c>
      <c r="B142" s="9" t="s">
        <v>83</v>
      </c>
      <c r="C142" s="9" t="s">
        <v>9</v>
      </c>
      <c r="D142" s="30" t="s">
        <v>8</v>
      </c>
      <c r="E142" s="9"/>
    </row>
    <row r="143" spans="1:5" hidden="1">
      <c r="A143" s="73" t="s">
        <v>150</v>
      </c>
      <c r="B143" s="9" t="s">
        <v>82</v>
      </c>
      <c r="C143" s="9" t="s">
        <v>7</v>
      </c>
      <c r="D143" s="30" t="s">
        <v>8</v>
      </c>
      <c r="E143" s="9"/>
    </row>
    <row r="144" spans="1:5" hidden="1">
      <c r="A144" s="73" t="s">
        <v>151</v>
      </c>
      <c r="B144" s="9" t="s">
        <v>82</v>
      </c>
      <c r="C144" s="9" t="s">
        <v>7</v>
      </c>
      <c r="D144" s="30" t="s">
        <v>7</v>
      </c>
      <c r="E144" s="9"/>
    </row>
    <row r="145" spans="1:5" hidden="1">
      <c r="A145" s="73" t="s">
        <v>152</v>
      </c>
      <c r="B145" s="9" t="s">
        <v>74</v>
      </c>
      <c r="C145" s="9" t="s">
        <v>9</v>
      </c>
      <c r="D145" s="30" t="s">
        <v>7</v>
      </c>
      <c r="E145" s="9"/>
    </row>
    <row r="146" spans="1:5" hidden="1">
      <c r="A146" s="73" t="s">
        <v>153</v>
      </c>
      <c r="B146" s="9" t="s">
        <v>74</v>
      </c>
      <c r="C146" s="9" t="s">
        <v>8</v>
      </c>
      <c r="D146" s="30" t="s">
        <v>7</v>
      </c>
      <c r="E146" s="9"/>
    </row>
    <row r="147" spans="1:5" hidden="1">
      <c r="A147" s="73" t="s">
        <v>154</v>
      </c>
      <c r="B147" s="9" t="s">
        <v>82</v>
      </c>
      <c r="C147" s="9" t="s">
        <v>7</v>
      </c>
      <c r="D147" s="30" t="s">
        <v>8</v>
      </c>
      <c r="E147" s="9"/>
    </row>
    <row r="148" spans="1:5" hidden="1">
      <c r="A148" s="73" t="s">
        <v>155</v>
      </c>
      <c r="B148" s="9" t="s">
        <v>74</v>
      </c>
      <c r="C148" s="9" t="s">
        <v>9</v>
      </c>
      <c r="D148" s="30" t="s">
        <v>7</v>
      </c>
      <c r="E148" s="9"/>
    </row>
    <row r="149" spans="1:5" hidden="1">
      <c r="A149" s="73" t="s">
        <v>156</v>
      </c>
      <c r="B149" s="9" t="s">
        <v>74</v>
      </c>
      <c r="C149" s="9" t="s">
        <v>9</v>
      </c>
      <c r="D149" s="30" t="s">
        <v>7</v>
      </c>
      <c r="E149" s="9"/>
    </row>
    <row r="150" spans="1:5" hidden="1">
      <c r="A150" s="73" t="s">
        <v>157</v>
      </c>
      <c r="B150" s="9" t="s">
        <v>82</v>
      </c>
      <c r="C150" s="9" t="s">
        <v>7</v>
      </c>
      <c r="D150" s="30" t="s">
        <v>8</v>
      </c>
      <c r="E150" s="9"/>
    </row>
    <row r="151" spans="1:5" hidden="1">
      <c r="A151" s="73" t="s">
        <v>158</v>
      </c>
      <c r="B151" s="9" t="s">
        <v>74</v>
      </c>
      <c r="C151" s="9" t="s">
        <v>9</v>
      </c>
      <c r="D151" s="30" t="s">
        <v>7</v>
      </c>
      <c r="E151" s="9"/>
    </row>
    <row r="152" spans="1:5" hidden="1">
      <c r="A152" s="73" t="s">
        <v>159</v>
      </c>
      <c r="B152" s="9" t="s">
        <v>83</v>
      </c>
      <c r="C152" s="9" t="s">
        <v>8</v>
      </c>
      <c r="D152" s="30" t="s">
        <v>8</v>
      </c>
      <c r="E152" s="9"/>
    </row>
    <row r="153" spans="1:5" hidden="1">
      <c r="A153" s="73" t="s">
        <v>160</v>
      </c>
      <c r="B153" s="9" t="s">
        <v>74</v>
      </c>
      <c r="C153" s="9" t="s">
        <v>8</v>
      </c>
      <c r="D153" s="30" t="s">
        <v>8</v>
      </c>
      <c r="E153" s="9"/>
    </row>
    <row r="154" spans="1:5" hidden="1">
      <c r="A154" s="73" t="s">
        <v>161</v>
      </c>
      <c r="B154" s="9" t="s">
        <v>74</v>
      </c>
      <c r="C154" s="9" t="s">
        <v>8</v>
      </c>
      <c r="D154" s="30" t="s">
        <v>9</v>
      </c>
      <c r="E154" s="9"/>
    </row>
    <row r="155" spans="1:5" hidden="1">
      <c r="A155" s="73" t="s">
        <v>162</v>
      </c>
      <c r="B155" s="9" t="s">
        <v>82</v>
      </c>
      <c r="C155" s="9" t="s">
        <v>8</v>
      </c>
      <c r="D155" s="30" t="s">
        <v>9</v>
      </c>
      <c r="E155" s="9"/>
    </row>
    <row r="156" spans="1:5" hidden="1">
      <c r="A156" s="73" t="s">
        <v>163</v>
      </c>
      <c r="B156" s="9" t="s">
        <v>74</v>
      </c>
      <c r="C156" s="9" t="s">
        <v>8</v>
      </c>
      <c r="D156" s="30" t="s">
        <v>7</v>
      </c>
      <c r="E156" s="9"/>
    </row>
    <row r="157" spans="1:5" hidden="1">
      <c r="A157" s="73" t="s">
        <v>164</v>
      </c>
      <c r="B157" s="9" t="s">
        <v>83</v>
      </c>
      <c r="C157" s="9" t="s">
        <v>9</v>
      </c>
      <c r="D157" s="30" t="s">
        <v>7</v>
      </c>
      <c r="E157" s="9"/>
    </row>
    <row r="158" spans="1:5" hidden="1">
      <c r="A158" s="73" t="s">
        <v>165</v>
      </c>
      <c r="B158" s="9" t="s">
        <v>83</v>
      </c>
      <c r="C158" s="9" t="s">
        <v>8</v>
      </c>
      <c r="D158" s="30" t="s">
        <v>7</v>
      </c>
      <c r="E158" s="9"/>
    </row>
    <row r="159" spans="1:5" hidden="1">
      <c r="A159" s="73" t="s">
        <v>166</v>
      </c>
      <c r="B159" s="9" t="s">
        <v>83</v>
      </c>
      <c r="C159" s="9" t="s">
        <v>9</v>
      </c>
      <c r="D159" s="30" t="s">
        <v>8</v>
      </c>
      <c r="E159" s="9"/>
    </row>
    <row r="160" spans="1:5" hidden="1">
      <c r="A160" s="73" t="s">
        <v>167</v>
      </c>
      <c r="B160" s="9" t="s">
        <v>81</v>
      </c>
      <c r="C160" s="9" t="s">
        <v>9</v>
      </c>
      <c r="D160" s="30" t="s">
        <v>9</v>
      </c>
      <c r="E160" s="9"/>
    </row>
    <row r="161" spans="1:5" hidden="1">
      <c r="A161" s="73" t="s">
        <v>168</v>
      </c>
      <c r="B161" s="9" t="s">
        <v>74</v>
      </c>
      <c r="C161" s="9" t="s">
        <v>9</v>
      </c>
      <c r="D161" s="30" t="s">
        <v>8</v>
      </c>
      <c r="E161" s="9"/>
    </row>
    <row r="162" spans="1:5" hidden="1">
      <c r="A162" s="73" t="s">
        <v>169</v>
      </c>
      <c r="B162" s="9" t="s">
        <v>74</v>
      </c>
      <c r="C162" s="9" t="s">
        <v>9</v>
      </c>
      <c r="D162" s="30" t="s">
        <v>7</v>
      </c>
      <c r="E162" s="9"/>
    </row>
    <row r="163" spans="1:5" hidden="1">
      <c r="A163" s="73" t="s">
        <v>170</v>
      </c>
      <c r="B163" s="9" t="s">
        <v>83</v>
      </c>
      <c r="C163" s="9" t="s">
        <v>8</v>
      </c>
      <c r="D163" s="30" t="s">
        <v>7</v>
      </c>
      <c r="E163" s="9"/>
    </row>
    <row r="164" spans="1:5" hidden="1">
      <c r="A164" s="73" t="s">
        <v>171</v>
      </c>
      <c r="B164" s="9" t="s">
        <v>82</v>
      </c>
      <c r="C164" s="9" t="s">
        <v>9</v>
      </c>
      <c r="D164" s="30" t="s">
        <v>7</v>
      </c>
      <c r="E164" s="9"/>
    </row>
    <row r="165" spans="1:5" hidden="1">
      <c r="A165" s="73" t="s">
        <v>172</v>
      </c>
      <c r="B165" s="9" t="s">
        <v>83</v>
      </c>
      <c r="C165" s="9" t="s">
        <v>9</v>
      </c>
      <c r="D165" s="30" t="s">
        <v>7</v>
      </c>
      <c r="E165" s="9"/>
    </row>
    <row r="166" spans="1:5" hidden="1">
      <c r="A166" s="73" t="s">
        <v>173</v>
      </c>
      <c r="B166" s="9" t="s">
        <v>82</v>
      </c>
      <c r="C166" s="9" t="s">
        <v>8</v>
      </c>
      <c r="D166" s="30" t="s">
        <v>9</v>
      </c>
      <c r="E166" s="9"/>
    </row>
    <row r="167" spans="1:5" hidden="1">
      <c r="A167" s="73" t="s">
        <v>174</v>
      </c>
      <c r="B167" s="9" t="s">
        <v>83</v>
      </c>
      <c r="C167" s="9" t="s">
        <v>9</v>
      </c>
      <c r="D167" s="30" t="s">
        <v>7</v>
      </c>
      <c r="E167" s="9"/>
    </row>
    <row r="168" spans="1:5" hidden="1">
      <c r="A168" s="73" t="s">
        <v>175</v>
      </c>
      <c r="B168" s="9" t="s">
        <v>83</v>
      </c>
      <c r="C168" s="9" t="s">
        <v>9</v>
      </c>
      <c r="D168" s="30" t="s">
        <v>7</v>
      </c>
      <c r="E168" s="9"/>
    </row>
    <row r="169" spans="1:5" hidden="1">
      <c r="A169" s="73" t="s">
        <v>176</v>
      </c>
      <c r="B169" s="9" t="s">
        <v>83</v>
      </c>
      <c r="C169" s="9" t="s">
        <v>7</v>
      </c>
      <c r="D169" s="30" t="s">
        <v>9</v>
      </c>
      <c r="E169" s="9"/>
    </row>
    <row r="170" spans="1:5" hidden="1">
      <c r="A170" s="73" t="s">
        <v>177</v>
      </c>
      <c r="B170" s="9" t="s">
        <v>82</v>
      </c>
      <c r="C170" s="9" t="s">
        <v>7</v>
      </c>
      <c r="D170" s="30" t="s">
        <v>7</v>
      </c>
      <c r="E170" s="9"/>
    </row>
    <row r="171" spans="1:5" hidden="1">
      <c r="A171" s="73" t="s">
        <v>178</v>
      </c>
      <c r="B171" s="9" t="s">
        <v>83</v>
      </c>
      <c r="C171" s="9" t="s">
        <v>8</v>
      </c>
      <c r="D171" s="30" t="s">
        <v>9</v>
      </c>
      <c r="E171" s="9"/>
    </row>
    <row r="172" spans="1:5" hidden="1">
      <c r="A172" s="73" t="s">
        <v>179</v>
      </c>
      <c r="B172" s="9" t="s">
        <v>83</v>
      </c>
      <c r="C172" s="9" t="s">
        <v>8</v>
      </c>
      <c r="D172" s="30" t="s">
        <v>9</v>
      </c>
      <c r="E172" s="9"/>
    </row>
    <row r="173" spans="1:5" hidden="1">
      <c r="A173" s="73" t="s">
        <v>180</v>
      </c>
      <c r="B173" s="9" t="s">
        <v>82</v>
      </c>
      <c r="C173" s="9" t="s">
        <v>7</v>
      </c>
      <c r="D173" s="30" t="s">
        <v>9</v>
      </c>
      <c r="E173" s="9"/>
    </row>
    <row r="174" spans="1:5" hidden="1">
      <c r="A174" s="73" t="s">
        <v>181</v>
      </c>
      <c r="B174" s="9" t="s">
        <v>74</v>
      </c>
      <c r="C174" s="9" t="s">
        <v>8</v>
      </c>
      <c r="D174" s="30" t="s">
        <v>8</v>
      </c>
      <c r="E174" s="9"/>
    </row>
    <row r="175" spans="1:5" hidden="1">
      <c r="A175" s="73" t="s">
        <v>182</v>
      </c>
      <c r="B175" s="9" t="s">
        <v>83</v>
      </c>
      <c r="C175" s="9" t="s">
        <v>8</v>
      </c>
      <c r="D175" s="30" t="s">
        <v>9</v>
      </c>
      <c r="E175" s="9"/>
    </row>
    <row r="176" spans="1:5" hidden="1">
      <c r="A176" s="73" t="s">
        <v>183</v>
      </c>
      <c r="B176" s="9" t="s">
        <v>83</v>
      </c>
      <c r="C176" s="9" t="s">
        <v>7</v>
      </c>
      <c r="D176" s="30" t="s">
        <v>9</v>
      </c>
      <c r="E176" s="9"/>
    </row>
    <row r="177" spans="1:8" hidden="1">
      <c r="A177" s="73" t="s">
        <v>184</v>
      </c>
      <c r="B177" s="9" t="s">
        <v>81</v>
      </c>
      <c r="C177" s="9" t="s">
        <v>9</v>
      </c>
      <c r="D177" s="30" t="s">
        <v>9</v>
      </c>
      <c r="E177" s="9"/>
    </row>
    <row r="178" spans="1:8" hidden="1">
      <c r="A178" s="73" t="s">
        <v>185</v>
      </c>
      <c r="B178" s="9" t="s">
        <v>83</v>
      </c>
      <c r="C178" s="9" t="s">
        <v>7</v>
      </c>
      <c r="D178" s="30" t="s">
        <v>8</v>
      </c>
      <c r="E178" s="9"/>
    </row>
    <row r="179" spans="1:8" hidden="1">
      <c r="A179" s="73" t="s">
        <v>186</v>
      </c>
      <c r="B179" s="9" t="s">
        <v>82</v>
      </c>
      <c r="C179" s="9" t="s">
        <v>7</v>
      </c>
      <c r="D179" s="30" t="s">
        <v>9</v>
      </c>
      <c r="E179" s="9"/>
    </row>
    <row r="180" spans="1:8" hidden="1">
      <c r="A180" s="73" t="s">
        <v>187</v>
      </c>
      <c r="B180" s="9" t="s">
        <v>82</v>
      </c>
      <c r="C180" s="9" t="s">
        <v>7</v>
      </c>
      <c r="D180" s="30" t="s">
        <v>9</v>
      </c>
      <c r="E180" s="9"/>
    </row>
    <row r="181" spans="1:8" hidden="1">
      <c r="A181" s="73" t="s">
        <v>188</v>
      </c>
      <c r="B181" s="9" t="s">
        <v>82</v>
      </c>
      <c r="C181" s="9" t="s">
        <v>8</v>
      </c>
      <c r="D181" s="30" t="s">
        <v>7</v>
      </c>
      <c r="E181" s="9"/>
    </row>
    <row r="182" spans="1:8" hidden="1">
      <c r="A182" s="73" t="s">
        <v>189</v>
      </c>
      <c r="B182" s="9" t="s">
        <v>74</v>
      </c>
      <c r="C182" s="9" t="s">
        <v>9</v>
      </c>
      <c r="D182" s="30" t="s">
        <v>7</v>
      </c>
      <c r="E182" s="9"/>
    </row>
    <row r="183" spans="1:8" hidden="1">
      <c r="A183" s="73" t="s">
        <v>190</v>
      </c>
      <c r="B183" s="9" t="s">
        <v>83</v>
      </c>
      <c r="C183" s="9" t="s">
        <v>9</v>
      </c>
      <c r="D183" s="30" t="s">
        <v>8</v>
      </c>
      <c r="E183" s="9"/>
    </row>
    <row r="184" spans="1:8" hidden="1">
      <c r="A184" s="73" t="s">
        <v>191</v>
      </c>
      <c r="B184" s="9" t="s">
        <v>74</v>
      </c>
      <c r="C184" s="9" t="s">
        <v>8</v>
      </c>
      <c r="D184" s="30" t="s">
        <v>7</v>
      </c>
      <c r="E184" s="9"/>
    </row>
    <row r="185" spans="1:8" hidden="1">
      <c r="A185" s="73" t="s">
        <v>192</v>
      </c>
      <c r="B185" s="9" t="s">
        <v>83</v>
      </c>
      <c r="C185" s="9" t="s">
        <v>7</v>
      </c>
      <c r="D185" s="30" t="s">
        <v>9</v>
      </c>
      <c r="E185" s="9"/>
    </row>
    <row r="186" spans="1:8" hidden="1">
      <c r="A186" s="73" t="s">
        <v>193</v>
      </c>
      <c r="B186" s="9" t="s">
        <v>83</v>
      </c>
      <c r="C186" s="9" t="s">
        <v>7</v>
      </c>
      <c r="D186" s="30" t="s">
        <v>9</v>
      </c>
      <c r="E186" s="9"/>
    </row>
    <row r="187" spans="1:8" hidden="1">
      <c r="A187" s="73" t="s">
        <v>194</v>
      </c>
      <c r="B187" s="9" t="s">
        <v>83</v>
      </c>
      <c r="C187" s="9" t="s">
        <v>7</v>
      </c>
      <c r="D187" s="30" t="s">
        <v>9</v>
      </c>
      <c r="E187" s="9"/>
    </row>
    <row r="188" spans="1:8" hidden="1">
      <c r="A188" s="73" t="s">
        <v>195</v>
      </c>
      <c r="B188" s="9" t="s">
        <v>83</v>
      </c>
      <c r="C188" s="9" t="s">
        <v>7</v>
      </c>
      <c r="D188" s="30" t="s">
        <v>9</v>
      </c>
      <c r="E188" s="9"/>
    </row>
    <row r="189" spans="1:8" hidden="1">
      <c r="A189" s="73" t="s">
        <v>196</v>
      </c>
      <c r="B189" s="9" t="s">
        <v>74</v>
      </c>
      <c r="C189" s="9" t="s">
        <v>7</v>
      </c>
      <c r="D189" s="30" t="s">
        <v>9</v>
      </c>
      <c r="E189" s="9"/>
    </row>
    <row r="190" spans="1:8" hidden="1">
      <c r="D190" s="30"/>
      <c r="E190" s="9" t="s">
        <v>279</v>
      </c>
    </row>
    <row r="191" spans="1:8" hidden="1">
      <c r="D191" s="30"/>
      <c r="E191" s="9">
        <v>1</v>
      </c>
      <c r="F191" s="70" t="s">
        <v>423</v>
      </c>
      <c r="G191" s="9" t="s">
        <v>623</v>
      </c>
      <c r="H191" s="9" t="s">
        <v>213</v>
      </c>
    </row>
    <row r="192" spans="1:8" hidden="1">
      <c r="A192" s="9" t="s">
        <v>269</v>
      </c>
      <c r="D192" s="30"/>
      <c r="E192" s="9">
        <v>2</v>
      </c>
      <c r="F192" s="12" t="s">
        <v>424</v>
      </c>
      <c r="G192" s="9" t="s">
        <v>625</v>
      </c>
      <c r="H192" s="9" t="s">
        <v>212</v>
      </c>
    </row>
    <row r="193" spans="1:16" hidden="1">
      <c r="A193" s="9" t="s">
        <v>270</v>
      </c>
      <c r="D193" s="30"/>
      <c r="E193" s="9">
        <v>3</v>
      </c>
      <c r="F193" s="12" t="s">
        <v>425</v>
      </c>
      <c r="G193" s="12" t="s">
        <v>624</v>
      </c>
      <c r="H193" s="9" t="s">
        <v>7</v>
      </c>
    </row>
    <row r="194" spans="1:16" hidden="1">
      <c r="A194" s="9" t="s">
        <v>199</v>
      </c>
      <c r="B194" s="9" t="s">
        <v>200</v>
      </c>
      <c r="C194" s="9" t="s">
        <v>202</v>
      </c>
      <c r="D194" s="30" t="s">
        <v>203</v>
      </c>
      <c r="E194" s="9" t="s">
        <v>204</v>
      </c>
      <c r="F194" s="13" t="s">
        <v>73</v>
      </c>
      <c r="G194" s="9" t="s">
        <v>205</v>
      </c>
      <c r="O194" s="9"/>
      <c r="P194" s="30"/>
    </row>
    <row r="195" spans="1:16" hidden="1">
      <c r="A195" s="75" t="s">
        <v>9</v>
      </c>
      <c r="B195" s="75" t="s">
        <v>104</v>
      </c>
      <c r="C195" s="74" t="s">
        <v>27</v>
      </c>
      <c r="D195" s="75" t="s">
        <v>27</v>
      </c>
      <c r="E195" s="9" t="str">
        <f t="shared" ref="E195:E218" si="3">CONCATENATE(A195,B195,C195,D195)</f>
        <v>FortLégumineuseOuiOui</v>
      </c>
      <c r="F195" s="27">
        <v>1</v>
      </c>
      <c r="G195" s="138" t="str">
        <f t="shared" ref="G195:G218" si="4">VLOOKUP(F195,RDD_azote,2,0)</f>
        <v>Forts reliquats (&gt; 80 kg N/ha)</v>
      </c>
      <c r="O195" s="9"/>
      <c r="P195" s="30"/>
    </row>
    <row r="196" spans="1:16" hidden="1">
      <c r="A196" s="75" t="s">
        <v>9</v>
      </c>
      <c r="B196" s="75" t="s">
        <v>104</v>
      </c>
      <c r="C196" s="74" t="s">
        <v>27</v>
      </c>
      <c r="D196" s="74" t="s">
        <v>28</v>
      </c>
      <c r="E196" s="9" t="str">
        <f t="shared" si="3"/>
        <v>FortLégumineuseOuiNon</v>
      </c>
      <c r="F196" s="27">
        <v>1</v>
      </c>
      <c r="G196" s="138" t="str">
        <f t="shared" si="4"/>
        <v>Forts reliquats (&gt; 80 kg N/ha)</v>
      </c>
      <c r="O196" s="9"/>
      <c r="P196" s="30"/>
    </row>
    <row r="197" spans="1:16" hidden="1">
      <c r="A197" s="75" t="s">
        <v>9</v>
      </c>
      <c r="B197" s="75" t="s">
        <v>104</v>
      </c>
      <c r="C197" s="75" t="s">
        <v>28</v>
      </c>
      <c r="D197" s="75" t="s">
        <v>27</v>
      </c>
      <c r="E197" s="9" t="str">
        <f t="shared" si="3"/>
        <v>FortLégumineuseNonOui</v>
      </c>
      <c r="F197" s="27">
        <v>1</v>
      </c>
      <c r="G197" s="138" t="str">
        <f t="shared" si="4"/>
        <v>Forts reliquats (&gt; 80 kg N/ha)</v>
      </c>
      <c r="O197" s="9"/>
      <c r="P197" s="30"/>
    </row>
    <row r="198" spans="1:16" hidden="1">
      <c r="A198" s="75" t="s">
        <v>9</v>
      </c>
      <c r="B198" s="75" t="s">
        <v>104</v>
      </c>
      <c r="C198" s="75" t="s">
        <v>28</v>
      </c>
      <c r="D198" s="74" t="s">
        <v>28</v>
      </c>
      <c r="E198" s="9" t="str">
        <f t="shared" si="3"/>
        <v>FortLégumineuseNonNon</v>
      </c>
      <c r="F198" s="27">
        <v>1</v>
      </c>
      <c r="G198" s="138" t="str">
        <f t="shared" si="4"/>
        <v>Forts reliquats (&gt; 80 kg N/ha)</v>
      </c>
      <c r="O198" s="9"/>
      <c r="P198" s="30"/>
    </row>
    <row r="199" spans="1:16" hidden="1">
      <c r="A199" s="75" t="s">
        <v>9</v>
      </c>
      <c r="B199" s="74" t="s">
        <v>201</v>
      </c>
      <c r="C199" s="74" t="s">
        <v>27</v>
      </c>
      <c r="D199" s="75" t="s">
        <v>27</v>
      </c>
      <c r="E199" s="9" t="str">
        <f t="shared" si="3"/>
        <v>FortNon-légumineuseOuiOui</v>
      </c>
      <c r="F199" s="27">
        <v>1</v>
      </c>
      <c r="G199" s="138" t="str">
        <f t="shared" si="4"/>
        <v>Forts reliquats (&gt; 80 kg N/ha)</v>
      </c>
      <c r="O199" s="9"/>
      <c r="P199" s="30"/>
    </row>
    <row r="200" spans="1:16" hidden="1">
      <c r="A200" s="75" t="s">
        <v>9</v>
      </c>
      <c r="B200" s="74" t="s">
        <v>201</v>
      </c>
      <c r="C200" s="74" t="s">
        <v>27</v>
      </c>
      <c r="D200" s="74" t="s">
        <v>28</v>
      </c>
      <c r="E200" s="9" t="str">
        <f t="shared" si="3"/>
        <v>FortNon-légumineuseOuiNon</v>
      </c>
      <c r="F200" s="27">
        <v>1</v>
      </c>
      <c r="G200" s="138" t="str">
        <f t="shared" si="4"/>
        <v>Forts reliquats (&gt; 80 kg N/ha)</v>
      </c>
      <c r="O200" s="9"/>
      <c r="P200" s="30"/>
    </row>
    <row r="201" spans="1:16" hidden="1">
      <c r="A201" s="75" t="s">
        <v>9</v>
      </c>
      <c r="B201" s="74" t="s">
        <v>201</v>
      </c>
      <c r="C201" s="75" t="s">
        <v>28</v>
      </c>
      <c r="D201" s="75" t="s">
        <v>27</v>
      </c>
      <c r="E201" s="9" t="str">
        <f t="shared" si="3"/>
        <v>FortNon-légumineuseNonOui</v>
      </c>
      <c r="F201" s="27">
        <v>1</v>
      </c>
      <c r="G201" s="138" t="str">
        <f t="shared" si="4"/>
        <v>Forts reliquats (&gt; 80 kg N/ha)</v>
      </c>
      <c r="O201" s="9"/>
      <c r="P201" s="30"/>
    </row>
    <row r="202" spans="1:16" hidden="1">
      <c r="A202" s="75" t="s">
        <v>9</v>
      </c>
      <c r="B202" s="74" t="s">
        <v>201</v>
      </c>
      <c r="C202" s="75" t="s">
        <v>28</v>
      </c>
      <c r="D202" s="74" t="s">
        <v>28</v>
      </c>
      <c r="E202" s="9" t="str">
        <f t="shared" si="3"/>
        <v>FortNon-légumineuseNonNon</v>
      </c>
      <c r="F202" s="27">
        <v>1</v>
      </c>
      <c r="G202" s="138" t="str">
        <f t="shared" si="4"/>
        <v>Forts reliquats (&gt; 80 kg N/ha)</v>
      </c>
      <c r="O202" s="9"/>
      <c r="P202" s="30"/>
    </row>
    <row r="203" spans="1:16" hidden="1">
      <c r="A203" s="27" t="s">
        <v>8</v>
      </c>
      <c r="B203" s="75" t="s">
        <v>104</v>
      </c>
      <c r="C203" s="74" t="s">
        <v>27</v>
      </c>
      <c r="D203" s="75" t="s">
        <v>27</v>
      </c>
      <c r="E203" s="9" t="str">
        <f t="shared" si="3"/>
        <v>MoyenLégumineuseOuiOui</v>
      </c>
      <c r="F203" s="27">
        <v>1</v>
      </c>
      <c r="G203" s="138" t="str">
        <f t="shared" si="4"/>
        <v>Forts reliquats (&gt; 80 kg N/ha)</v>
      </c>
      <c r="O203" s="9"/>
      <c r="P203" s="30"/>
    </row>
    <row r="204" spans="1:16" hidden="1">
      <c r="A204" s="27" t="s">
        <v>8</v>
      </c>
      <c r="B204" s="75" t="s">
        <v>104</v>
      </c>
      <c r="C204" s="74" t="s">
        <v>27</v>
      </c>
      <c r="D204" s="74" t="s">
        <v>28</v>
      </c>
      <c r="E204" s="9" t="str">
        <f t="shared" si="3"/>
        <v>MoyenLégumineuseOuiNon</v>
      </c>
      <c r="F204" s="27">
        <v>1</v>
      </c>
      <c r="G204" s="138" t="str">
        <f t="shared" si="4"/>
        <v>Forts reliquats (&gt; 80 kg N/ha)</v>
      </c>
      <c r="O204" s="9"/>
      <c r="P204" s="30"/>
    </row>
    <row r="205" spans="1:16" hidden="1">
      <c r="A205" s="27" t="s">
        <v>8</v>
      </c>
      <c r="B205" s="75" t="s">
        <v>104</v>
      </c>
      <c r="C205" s="75" t="s">
        <v>28</v>
      </c>
      <c r="D205" s="75" t="s">
        <v>27</v>
      </c>
      <c r="E205" s="9" t="str">
        <f t="shared" si="3"/>
        <v>MoyenLégumineuseNonOui</v>
      </c>
      <c r="F205" s="27">
        <v>1</v>
      </c>
      <c r="G205" s="138" t="str">
        <f t="shared" si="4"/>
        <v>Forts reliquats (&gt; 80 kg N/ha)</v>
      </c>
      <c r="O205" s="9"/>
      <c r="P205" s="118"/>
    </row>
    <row r="206" spans="1:16" hidden="1">
      <c r="A206" s="27" t="s">
        <v>8</v>
      </c>
      <c r="B206" s="75" t="s">
        <v>104</v>
      </c>
      <c r="C206" s="75" t="s">
        <v>28</v>
      </c>
      <c r="D206" s="74" t="s">
        <v>28</v>
      </c>
      <c r="E206" s="9" t="str">
        <f t="shared" si="3"/>
        <v>MoyenLégumineuseNonNon</v>
      </c>
      <c r="F206" s="27">
        <v>1</v>
      </c>
      <c r="G206" s="138" t="str">
        <f t="shared" si="4"/>
        <v>Forts reliquats (&gt; 80 kg N/ha)</v>
      </c>
      <c r="O206" s="9"/>
      <c r="P206" s="118"/>
    </row>
    <row r="207" spans="1:16" hidden="1">
      <c r="A207" s="27" t="s">
        <v>8</v>
      </c>
      <c r="B207" s="74" t="s">
        <v>201</v>
      </c>
      <c r="C207" s="74" t="s">
        <v>27</v>
      </c>
      <c r="D207" s="75" t="s">
        <v>27</v>
      </c>
      <c r="E207" s="9" t="str">
        <f t="shared" si="3"/>
        <v>MoyenNon-légumineuseOuiOui</v>
      </c>
      <c r="F207" s="139">
        <v>2</v>
      </c>
      <c r="G207" s="140" t="str">
        <f t="shared" si="4"/>
        <v>Reliquats moyens (entre 40 et 80 kg N/ha)</v>
      </c>
      <c r="O207" s="9"/>
      <c r="P207" s="30"/>
    </row>
    <row r="208" spans="1:16" hidden="1">
      <c r="A208" s="27" t="s">
        <v>8</v>
      </c>
      <c r="B208" s="74" t="s">
        <v>201</v>
      </c>
      <c r="C208" s="74" t="s">
        <v>27</v>
      </c>
      <c r="D208" s="74" t="s">
        <v>28</v>
      </c>
      <c r="E208" s="9" t="str">
        <f t="shared" si="3"/>
        <v>MoyenNon-légumineuseOuiNon</v>
      </c>
      <c r="F208" s="139">
        <v>2</v>
      </c>
      <c r="G208" s="140" t="str">
        <f t="shared" si="4"/>
        <v>Reliquats moyens (entre 40 et 80 kg N/ha)</v>
      </c>
      <c r="O208" s="9"/>
      <c r="P208" s="30"/>
    </row>
    <row r="209" spans="1:16" hidden="1">
      <c r="A209" s="27" t="s">
        <v>8</v>
      </c>
      <c r="B209" s="74" t="s">
        <v>201</v>
      </c>
      <c r="C209" s="75" t="s">
        <v>28</v>
      </c>
      <c r="D209" s="75" t="s">
        <v>27</v>
      </c>
      <c r="E209" s="9" t="str">
        <f t="shared" si="3"/>
        <v>MoyenNon-légumineuseNonOui</v>
      </c>
      <c r="F209" s="27">
        <v>1</v>
      </c>
      <c r="G209" s="138" t="str">
        <f t="shared" si="4"/>
        <v>Forts reliquats (&gt; 80 kg N/ha)</v>
      </c>
      <c r="O209" s="9"/>
      <c r="P209" s="30"/>
    </row>
    <row r="210" spans="1:16" hidden="1">
      <c r="A210" s="27" t="s">
        <v>8</v>
      </c>
      <c r="B210" s="74" t="s">
        <v>201</v>
      </c>
      <c r="C210" s="75" t="s">
        <v>28</v>
      </c>
      <c r="D210" s="74" t="s">
        <v>28</v>
      </c>
      <c r="E210" s="9" t="str">
        <f t="shared" si="3"/>
        <v>MoyenNon-légumineuseNonNon</v>
      </c>
      <c r="F210" s="27">
        <v>1</v>
      </c>
      <c r="G210" s="138" t="str">
        <f t="shared" si="4"/>
        <v>Forts reliquats (&gt; 80 kg N/ha)</v>
      </c>
      <c r="O210" s="9"/>
      <c r="P210" s="30"/>
    </row>
    <row r="211" spans="1:16" hidden="1">
      <c r="A211" s="74" t="s">
        <v>7</v>
      </c>
      <c r="B211" s="75" t="s">
        <v>104</v>
      </c>
      <c r="C211" s="74" t="s">
        <v>27</v>
      </c>
      <c r="D211" s="75" t="s">
        <v>27</v>
      </c>
      <c r="E211" s="9" t="str">
        <f t="shared" si="3"/>
        <v>FaibleLégumineuseOuiOui</v>
      </c>
      <c r="F211" s="27">
        <v>1</v>
      </c>
      <c r="G211" s="138" t="str">
        <f t="shared" si="4"/>
        <v>Forts reliquats (&gt; 80 kg N/ha)</v>
      </c>
      <c r="O211" s="9"/>
      <c r="P211" s="118"/>
    </row>
    <row r="212" spans="1:16" hidden="1">
      <c r="A212" s="74" t="s">
        <v>7</v>
      </c>
      <c r="B212" s="75" t="s">
        <v>104</v>
      </c>
      <c r="C212" s="74" t="s">
        <v>27</v>
      </c>
      <c r="D212" s="74" t="s">
        <v>28</v>
      </c>
      <c r="E212" s="9" t="str">
        <f t="shared" si="3"/>
        <v>FaibleLégumineuseOuiNon</v>
      </c>
      <c r="F212" s="27">
        <v>1</v>
      </c>
      <c r="G212" s="138" t="str">
        <f t="shared" si="4"/>
        <v>Forts reliquats (&gt; 80 kg N/ha)</v>
      </c>
      <c r="O212" s="9"/>
      <c r="P212" s="118"/>
    </row>
    <row r="213" spans="1:16" hidden="1">
      <c r="A213" s="74" t="s">
        <v>7</v>
      </c>
      <c r="B213" s="75" t="s">
        <v>104</v>
      </c>
      <c r="C213" s="75" t="s">
        <v>28</v>
      </c>
      <c r="D213" s="75" t="s">
        <v>27</v>
      </c>
      <c r="E213" s="9" t="str">
        <f t="shared" si="3"/>
        <v>FaibleLégumineuseNonOui</v>
      </c>
      <c r="F213" s="27">
        <v>1</v>
      </c>
      <c r="G213" s="138" t="str">
        <f t="shared" si="4"/>
        <v>Forts reliquats (&gt; 80 kg N/ha)</v>
      </c>
      <c r="O213" s="9"/>
      <c r="P213" s="118"/>
    </row>
    <row r="214" spans="1:16" hidden="1">
      <c r="A214" s="74" t="s">
        <v>7</v>
      </c>
      <c r="B214" s="75" t="s">
        <v>104</v>
      </c>
      <c r="C214" s="75" t="s">
        <v>28</v>
      </c>
      <c r="D214" s="74" t="s">
        <v>28</v>
      </c>
      <c r="E214" s="9" t="str">
        <f t="shared" si="3"/>
        <v>FaibleLégumineuseNonNon</v>
      </c>
      <c r="F214" s="27">
        <v>1</v>
      </c>
      <c r="G214" s="138" t="str">
        <f t="shared" si="4"/>
        <v>Forts reliquats (&gt; 80 kg N/ha)</v>
      </c>
      <c r="O214" s="9"/>
      <c r="P214" s="118"/>
    </row>
    <row r="215" spans="1:16" hidden="1">
      <c r="A215" s="74" t="s">
        <v>7</v>
      </c>
      <c r="B215" s="74" t="s">
        <v>201</v>
      </c>
      <c r="C215" s="74" t="s">
        <v>27</v>
      </c>
      <c r="D215" s="75" t="s">
        <v>27</v>
      </c>
      <c r="E215" s="9" t="str">
        <f t="shared" si="3"/>
        <v>FaibleNon-légumineuseOuiOui</v>
      </c>
      <c r="F215" s="74">
        <v>3</v>
      </c>
      <c r="G215" s="74" t="str">
        <f t="shared" si="4"/>
        <v>Faibles reliquats (&lt; 40 kg N/ha)</v>
      </c>
      <c r="O215" s="9"/>
      <c r="P215" s="118"/>
    </row>
    <row r="216" spans="1:16" hidden="1">
      <c r="A216" s="74" t="s">
        <v>7</v>
      </c>
      <c r="B216" s="74" t="s">
        <v>201</v>
      </c>
      <c r="C216" s="74" t="s">
        <v>27</v>
      </c>
      <c r="D216" s="74" t="s">
        <v>28</v>
      </c>
      <c r="E216" s="9" t="str">
        <f t="shared" si="3"/>
        <v>FaibleNon-légumineuseOuiNon</v>
      </c>
      <c r="F216" s="74">
        <v>3</v>
      </c>
      <c r="G216" s="74" t="str">
        <f t="shared" si="4"/>
        <v>Faibles reliquats (&lt; 40 kg N/ha)</v>
      </c>
      <c r="O216" s="9"/>
      <c r="P216" s="118"/>
    </row>
    <row r="217" spans="1:16" hidden="1">
      <c r="A217" s="74" t="s">
        <v>7</v>
      </c>
      <c r="B217" s="74" t="s">
        <v>201</v>
      </c>
      <c r="C217" s="75" t="s">
        <v>28</v>
      </c>
      <c r="D217" s="75" t="s">
        <v>27</v>
      </c>
      <c r="E217" s="9" t="str">
        <f t="shared" si="3"/>
        <v>FaibleNon-légumineuseNonOui</v>
      </c>
      <c r="F217" s="27">
        <v>1</v>
      </c>
      <c r="G217" s="138" t="str">
        <f t="shared" si="4"/>
        <v>Forts reliquats (&gt; 80 kg N/ha)</v>
      </c>
      <c r="O217" s="9"/>
      <c r="P217" s="30"/>
    </row>
    <row r="218" spans="1:16" hidden="1">
      <c r="A218" s="74" t="s">
        <v>7</v>
      </c>
      <c r="B218" s="74" t="s">
        <v>201</v>
      </c>
      <c r="C218" s="75" t="s">
        <v>28</v>
      </c>
      <c r="D218" s="74" t="s">
        <v>28</v>
      </c>
      <c r="E218" s="9" t="str">
        <f t="shared" si="3"/>
        <v>FaibleNon-légumineuseNonNon</v>
      </c>
      <c r="F218" s="139">
        <v>2</v>
      </c>
      <c r="G218" s="140" t="str">
        <f t="shared" si="4"/>
        <v>Reliquats moyens (entre 40 et 80 kg N/ha)</v>
      </c>
      <c r="O218" s="9"/>
      <c r="P218" s="30"/>
    </row>
    <row r="219" spans="1:16" hidden="1">
      <c r="D219" s="118"/>
      <c r="E219" s="9"/>
      <c r="F219" s="83"/>
      <c r="G219" s="12"/>
      <c r="O219" s="9"/>
      <c r="P219" s="118"/>
    </row>
    <row r="220" spans="1:16" hidden="1">
      <c r="D220" s="30"/>
      <c r="E220" s="9"/>
    </row>
    <row r="221" spans="1:16" hidden="1">
      <c r="D221" s="30" t="s">
        <v>277</v>
      </c>
      <c r="E221" s="9"/>
    </row>
    <row r="222" spans="1:16" hidden="1">
      <c r="D222" s="30">
        <v>1</v>
      </c>
      <c r="E222" s="9" t="s">
        <v>286</v>
      </c>
    </row>
    <row r="223" spans="1:16" hidden="1">
      <c r="A223" s="9" t="s">
        <v>271</v>
      </c>
      <c r="D223" s="30">
        <v>2</v>
      </c>
      <c r="E223" s="9" t="s">
        <v>285</v>
      </c>
    </row>
    <row r="224" spans="1:16" hidden="1">
      <c r="A224" s="9" t="s">
        <v>272</v>
      </c>
      <c r="D224" s="30">
        <v>3</v>
      </c>
      <c r="E224" s="9" t="s">
        <v>284</v>
      </c>
    </row>
    <row r="225" spans="1:16" hidden="1">
      <c r="A225" s="9" t="s">
        <v>283</v>
      </c>
      <c r="B225" s="9" t="s">
        <v>207</v>
      </c>
      <c r="C225" s="9" t="s">
        <v>282</v>
      </c>
      <c r="D225" s="30" t="s">
        <v>79</v>
      </c>
      <c r="E225" s="9" t="s">
        <v>211</v>
      </c>
    </row>
    <row r="226" spans="1:16" hidden="1">
      <c r="A226" s="74" t="s">
        <v>7</v>
      </c>
      <c r="B226" s="74" t="s">
        <v>208</v>
      </c>
      <c r="C226" s="66" t="s">
        <v>692</v>
      </c>
      <c r="D226" s="30" t="str">
        <f t="shared" ref="D226:D252" si="5">CONCATENATE(A226,B226,C226)</f>
        <v>Faible&gt; 5 ansPeu ou pas d'espèces nuisibles</v>
      </c>
      <c r="E226" s="30">
        <v>1</v>
      </c>
      <c r="F226" s="74" t="str">
        <f t="shared" ref="F226:F252" si="6">VLOOKUP(E226,RDD_Adventices,2,0)</f>
        <v>Faible : les adventices ne devraient pas être un problème.</v>
      </c>
      <c r="O226" s="9"/>
      <c r="P226" s="30"/>
    </row>
    <row r="227" spans="1:16" hidden="1">
      <c r="A227" s="74" t="s">
        <v>7</v>
      </c>
      <c r="B227" s="74" t="s">
        <v>208</v>
      </c>
      <c r="C227" s="67" t="s">
        <v>693</v>
      </c>
      <c r="D227" s="30" t="str">
        <f t="shared" si="5"/>
        <v>Faible&gt; 5 ansPrésence d'espèces nuisibles mais bien gérées</v>
      </c>
      <c r="E227" s="30">
        <v>1</v>
      </c>
      <c r="F227" s="74" t="str">
        <f t="shared" si="6"/>
        <v>Faible : les adventices ne devraient pas être un problème.</v>
      </c>
      <c r="O227" s="9"/>
      <c r="P227" s="30"/>
    </row>
    <row r="228" spans="1:16" ht="15" hidden="1" thickBot="1">
      <c r="A228" s="74" t="s">
        <v>7</v>
      </c>
      <c r="B228" s="74" t="s">
        <v>208</v>
      </c>
      <c r="C228" s="76" t="s">
        <v>694</v>
      </c>
      <c r="D228" s="30" t="str">
        <f t="shared" si="5"/>
        <v>Faible&gt; 5 ansPrésence d'espèces nuisibles et mal gérées</v>
      </c>
      <c r="E228" s="30">
        <v>2</v>
      </c>
      <c r="F228" s="74" t="str">
        <f t="shared" si="6"/>
        <v>Moyenne : les adventices pourraient se développer avec le couvert. Adapter le désherbage.</v>
      </c>
      <c r="O228" s="9"/>
      <c r="P228" s="30"/>
    </row>
    <row r="229" spans="1:16" hidden="1">
      <c r="A229" s="74" t="s">
        <v>7</v>
      </c>
      <c r="B229" s="27" t="s">
        <v>209</v>
      </c>
      <c r="C229" s="66" t="s">
        <v>692</v>
      </c>
      <c r="D229" s="30" t="str">
        <f t="shared" si="5"/>
        <v>Faible4-5 ansPeu ou pas d'espèces nuisibles</v>
      </c>
      <c r="E229" s="30">
        <v>1</v>
      </c>
      <c r="F229" s="74" t="str">
        <f t="shared" si="6"/>
        <v>Faible : les adventices ne devraient pas être un problème.</v>
      </c>
      <c r="O229" s="9"/>
      <c r="P229" s="30"/>
    </row>
    <row r="230" spans="1:16" hidden="1">
      <c r="A230" s="74" t="s">
        <v>7</v>
      </c>
      <c r="B230" s="27" t="s">
        <v>209</v>
      </c>
      <c r="C230" s="67" t="s">
        <v>693</v>
      </c>
      <c r="D230" s="30" t="str">
        <f t="shared" si="5"/>
        <v>Faible4-5 ansPrésence d'espèces nuisibles mais bien gérées</v>
      </c>
      <c r="E230" s="30">
        <v>1</v>
      </c>
      <c r="F230" s="74" t="str">
        <f t="shared" si="6"/>
        <v>Faible : les adventices ne devraient pas être un problème.</v>
      </c>
      <c r="O230" s="9"/>
      <c r="P230" s="30"/>
    </row>
    <row r="231" spans="1:16" ht="15" hidden="1" thickBot="1">
      <c r="A231" s="74" t="s">
        <v>7</v>
      </c>
      <c r="B231" s="27" t="s">
        <v>209</v>
      </c>
      <c r="C231" s="76" t="s">
        <v>694</v>
      </c>
      <c r="D231" s="30" t="str">
        <f t="shared" si="5"/>
        <v>Faible4-5 ansPrésence d'espèces nuisibles et mal gérées</v>
      </c>
      <c r="E231" s="30">
        <v>3</v>
      </c>
      <c r="F231" s="74" t="str">
        <f t="shared" si="6"/>
        <v>Forte : les adventices concurrenceront le colza et le couvert. Améliorer la situation en jouant sur d'autres leviers agronomiques avant d'envisager l'association du colza.</v>
      </c>
      <c r="O231" s="9"/>
      <c r="P231" s="30"/>
    </row>
    <row r="232" spans="1:16" hidden="1">
      <c r="A232" s="74" t="s">
        <v>7</v>
      </c>
      <c r="B232" s="75" t="s">
        <v>696</v>
      </c>
      <c r="C232" s="66" t="s">
        <v>692</v>
      </c>
      <c r="D232" s="30" t="str">
        <f t="shared" si="5"/>
        <v>Faible≤ 3 ansPeu ou pas d'espèces nuisibles</v>
      </c>
      <c r="E232" s="30">
        <v>2</v>
      </c>
      <c r="F232" s="74" t="str">
        <f t="shared" si="6"/>
        <v>Moyenne : les adventices pourraient se développer avec le couvert. Adapter le désherbage.</v>
      </c>
      <c r="O232" s="9"/>
      <c r="P232" s="30"/>
    </row>
    <row r="233" spans="1:16" hidden="1">
      <c r="A233" s="74" t="s">
        <v>7</v>
      </c>
      <c r="B233" s="75" t="s">
        <v>696</v>
      </c>
      <c r="C233" s="67" t="s">
        <v>693</v>
      </c>
      <c r="D233" s="30" t="str">
        <f t="shared" si="5"/>
        <v>Faible≤ 3 ansPrésence d'espèces nuisibles mais bien gérées</v>
      </c>
      <c r="E233" s="30">
        <v>3</v>
      </c>
      <c r="F233" s="74" t="str">
        <f t="shared" si="6"/>
        <v>Forte : les adventices concurrenceront le colza et le couvert. Améliorer la situation en jouant sur d'autres leviers agronomiques avant d'envisager l'association du colza.</v>
      </c>
      <c r="O233" s="9"/>
      <c r="P233" s="30"/>
    </row>
    <row r="234" spans="1:16" ht="15" hidden="1" thickBot="1">
      <c r="A234" s="74" t="s">
        <v>7</v>
      </c>
      <c r="B234" s="75" t="s">
        <v>696</v>
      </c>
      <c r="C234" s="76" t="s">
        <v>694</v>
      </c>
      <c r="D234" s="30" t="str">
        <f t="shared" si="5"/>
        <v>Faible≤ 3 ansPrésence d'espèces nuisibles et mal gérées</v>
      </c>
      <c r="E234" s="30">
        <v>3</v>
      </c>
      <c r="F234" s="74" t="str">
        <f t="shared" si="6"/>
        <v>Forte : les adventices concurrenceront le colza et le couvert. Améliorer la situation en jouant sur d'autres leviers agronomiques avant d'envisager l'association du colza.</v>
      </c>
      <c r="O234" s="9"/>
      <c r="P234" s="30"/>
    </row>
    <row r="235" spans="1:16" hidden="1">
      <c r="A235" s="27" t="s">
        <v>212</v>
      </c>
      <c r="B235" s="74" t="s">
        <v>208</v>
      </c>
      <c r="C235" s="66" t="s">
        <v>692</v>
      </c>
      <c r="D235" s="30" t="str">
        <f t="shared" si="5"/>
        <v>Moyenne&gt; 5 ansPeu ou pas d'espèces nuisibles</v>
      </c>
      <c r="E235" s="30">
        <v>1</v>
      </c>
      <c r="F235" s="74" t="str">
        <f t="shared" si="6"/>
        <v>Faible : les adventices ne devraient pas être un problème.</v>
      </c>
      <c r="O235" s="9"/>
      <c r="P235" s="30"/>
    </row>
    <row r="236" spans="1:16" hidden="1">
      <c r="A236" s="27" t="s">
        <v>212</v>
      </c>
      <c r="B236" s="74" t="s">
        <v>208</v>
      </c>
      <c r="C236" s="67" t="s">
        <v>693</v>
      </c>
      <c r="D236" s="30" t="str">
        <f t="shared" si="5"/>
        <v>Moyenne&gt; 5 ansPrésence d'espèces nuisibles mais bien gérées</v>
      </c>
      <c r="E236" s="30">
        <v>1</v>
      </c>
      <c r="F236" s="74" t="str">
        <f t="shared" si="6"/>
        <v>Faible : les adventices ne devraient pas être un problème.</v>
      </c>
      <c r="O236" s="9"/>
      <c r="P236" s="30"/>
    </row>
    <row r="237" spans="1:16" ht="15" hidden="1" thickBot="1">
      <c r="A237" s="27" t="s">
        <v>212</v>
      </c>
      <c r="B237" s="74" t="s">
        <v>208</v>
      </c>
      <c r="C237" s="76" t="s">
        <v>694</v>
      </c>
      <c r="D237" s="30" t="str">
        <f t="shared" si="5"/>
        <v>Moyenne&gt; 5 ansPrésence d'espèces nuisibles et mal gérées</v>
      </c>
      <c r="E237" s="30">
        <v>3</v>
      </c>
      <c r="F237" s="74" t="str">
        <f t="shared" si="6"/>
        <v>Forte : les adventices concurrenceront le colza et le couvert. Améliorer la situation en jouant sur d'autres leviers agronomiques avant d'envisager l'association du colza.</v>
      </c>
      <c r="O237" s="9"/>
      <c r="P237" s="30"/>
    </row>
    <row r="238" spans="1:16" hidden="1">
      <c r="A238" s="27" t="s">
        <v>212</v>
      </c>
      <c r="B238" s="27" t="s">
        <v>209</v>
      </c>
      <c r="C238" s="66" t="s">
        <v>692</v>
      </c>
      <c r="D238" s="30" t="str">
        <f t="shared" si="5"/>
        <v>Moyenne4-5 ansPeu ou pas d'espèces nuisibles</v>
      </c>
      <c r="E238" s="30">
        <v>1</v>
      </c>
      <c r="F238" s="74" t="str">
        <f t="shared" si="6"/>
        <v>Faible : les adventices ne devraient pas être un problème.</v>
      </c>
      <c r="O238" s="9"/>
      <c r="P238" s="30"/>
    </row>
    <row r="239" spans="1:16" hidden="1">
      <c r="A239" s="27" t="s">
        <v>212</v>
      </c>
      <c r="B239" s="27" t="s">
        <v>209</v>
      </c>
      <c r="C239" s="67" t="s">
        <v>693</v>
      </c>
      <c r="D239" s="30" t="str">
        <f t="shared" si="5"/>
        <v>Moyenne4-5 ansPrésence d'espèces nuisibles mais bien gérées</v>
      </c>
      <c r="E239" s="30">
        <v>2</v>
      </c>
      <c r="F239" s="74" t="str">
        <f t="shared" si="6"/>
        <v>Moyenne : les adventices pourraient se développer avec le couvert. Adapter le désherbage.</v>
      </c>
      <c r="O239" s="9"/>
      <c r="P239" s="30"/>
    </row>
    <row r="240" spans="1:16" ht="15" hidden="1" thickBot="1">
      <c r="A240" s="27" t="s">
        <v>212</v>
      </c>
      <c r="B240" s="27" t="s">
        <v>209</v>
      </c>
      <c r="C240" s="76" t="s">
        <v>694</v>
      </c>
      <c r="D240" s="30" t="str">
        <f t="shared" si="5"/>
        <v>Moyenne4-5 ansPrésence d'espèces nuisibles et mal gérées</v>
      </c>
      <c r="E240" s="30">
        <v>3</v>
      </c>
      <c r="F240" s="74" t="str">
        <f t="shared" si="6"/>
        <v>Forte : les adventices concurrenceront le colza et le couvert. Améliorer la situation en jouant sur d'autres leviers agronomiques avant d'envisager l'association du colza.</v>
      </c>
      <c r="O240" s="9"/>
      <c r="P240" s="30"/>
    </row>
    <row r="241" spans="1:16" hidden="1">
      <c r="A241" s="27" t="s">
        <v>212</v>
      </c>
      <c r="B241" s="75" t="s">
        <v>696</v>
      </c>
      <c r="C241" s="66" t="s">
        <v>692</v>
      </c>
      <c r="D241" s="30" t="str">
        <f t="shared" si="5"/>
        <v>Moyenne≤ 3 ansPeu ou pas d'espèces nuisibles</v>
      </c>
      <c r="E241" s="30">
        <v>2</v>
      </c>
      <c r="F241" s="74" t="str">
        <f t="shared" si="6"/>
        <v>Moyenne : les adventices pourraient se développer avec le couvert. Adapter le désherbage.</v>
      </c>
      <c r="O241" s="9"/>
      <c r="P241" s="30"/>
    </row>
    <row r="242" spans="1:16" hidden="1">
      <c r="A242" s="27" t="s">
        <v>212</v>
      </c>
      <c r="B242" s="75" t="s">
        <v>696</v>
      </c>
      <c r="C242" s="67" t="s">
        <v>693</v>
      </c>
      <c r="D242" s="30" t="str">
        <f t="shared" si="5"/>
        <v>Moyenne≤ 3 ansPrésence d'espèces nuisibles mais bien gérées</v>
      </c>
      <c r="E242" s="30">
        <v>3</v>
      </c>
      <c r="F242" s="74" t="str">
        <f t="shared" si="6"/>
        <v>Forte : les adventices concurrenceront le colza et le couvert. Améliorer la situation en jouant sur d'autres leviers agronomiques avant d'envisager l'association du colza.</v>
      </c>
      <c r="O242" s="9"/>
      <c r="P242" s="30"/>
    </row>
    <row r="243" spans="1:16" ht="15" hidden="1" thickBot="1">
      <c r="A243" s="27" t="s">
        <v>212</v>
      </c>
      <c r="B243" s="75" t="s">
        <v>696</v>
      </c>
      <c r="C243" s="76" t="s">
        <v>694</v>
      </c>
      <c r="D243" s="30" t="str">
        <f t="shared" si="5"/>
        <v>Moyenne≤ 3 ansPrésence d'espèces nuisibles et mal gérées</v>
      </c>
      <c r="E243" s="30">
        <v>3</v>
      </c>
      <c r="F243" s="74" t="str">
        <f t="shared" si="6"/>
        <v>Forte : les adventices concurrenceront le colza et le couvert. Améliorer la situation en jouant sur d'autres leviers agronomiques avant d'envisager l'association du colza.</v>
      </c>
      <c r="O243" s="9"/>
      <c r="P243" s="30"/>
    </row>
    <row r="244" spans="1:16" hidden="1">
      <c r="A244" s="75" t="s">
        <v>276</v>
      </c>
      <c r="B244" s="74" t="s">
        <v>208</v>
      </c>
      <c r="C244" s="66" t="s">
        <v>692</v>
      </c>
      <c r="D244" s="30" t="str">
        <f t="shared" si="5"/>
        <v>Elevée&gt; 5 ansPeu ou pas d'espèces nuisibles</v>
      </c>
      <c r="E244" s="30">
        <v>3</v>
      </c>
      <c r="F244" s="74" t="str">
        <f t="shared" si="6"/>
        <v>Forte : les adventices concurrenceront le colza et le couvert. Améliorer la situation en jouant sur d'autres leviers agronomiques avant d'envisager l'association du colza.</v>
      </c>
      <c r="O244" s="9"/>
      <c r="P244" s="30"/>
    </row>
    <row r="245" spans="1:16" hidden="1">
      <c r="A245" s="75" t="s">
        <v>276</v>
      </c>
      <c r="B245" s="74" t="s">
        <v>208</v>
      </c>
      <c r="C245" s="67" t="s">
        <v>693</v>
      </c>
      <c r="D245" s="30" t="str">
        <f t="shared" si="5"/>
        <v>Elevée&gt; 5 ansPrésence d'espèces nuisibles mais bien gérées</v>
      </c>
      <c r="E245" s="30">
        <v>3</v>
      </c>
      <c r="F245" s="74" t="str">
        <f t="shared" si="6"/>
        <v>Forte : les adventices concurrenceront le colza et le couvert. Améliorer la situation en jouant sur d'autres leviers agronomiques avant d'envisager l'association du colza.</v>
      </c>
      <c r="O245" s="9"/>
      <c r="P245" s="30"/>
    </row>
    <row r="246" spans="1:16" ht="15" hidden="1" thickBot="1">
      <c r="A246" s="75" t="s">
        <v>276</v>
      </c>
      <c r="B246" s="74" t="s">
        <v>208</v>
      </c>
      <c r="C246" s="76" t="s">
        <v>694</v>
      </c>
      <c r="D246" s="30" t="str">
        <f t="shared" si="5"/>
        <v>Elevée&gt; 5 ansPrésence d'espèces nuisibles et mal gérées</v>
      </c>
      <c r="E246" s="30">
        <v>3</v>
      </c>
      <c r="F246" s="74" t="str">
        <f t="shared" si="6"/>
        <v>Forte : les adventices concurrenceront le colza et le couvert. Améliorer la situation en jouant sur d'autres leviers agronomiques avant d'envisager l'association du colza.</v>
      </c>
      <c r="O246" s="9"/>
      <c r="P246" s="30"/>
    </row>
    <row r="247" spans="1:16" hidden="1">
      <c r="A247" s="75" t="s">
        <v>276</v>
      </c>
      <c r="B247" s="27" t="s">
        <v>209</v>
      </c>
      <c r="C247" s="66" t="s">
        <v>692</v>
      </c>
      <c r="D247" s="30" t="str">
        <f t="shared" si="5"/>
        <v>Elevée4-5 ansPeu ou pas d'espèces nuisibles</v>
      </c>
      <c r="E247" s="30">
        <v>3</v>
      </c>
      <c r="F247" s="74" t="str">
        <f t="shared" si="6"/>
        <v>Forte : les adventices concurrenceront le colza et le couvert. Améliorer la situation en jouant sur d'autres leviers agronomiques avant d'envisager l'association du colza.</v>
      </c>
      <c r="O247" s="9"/>
      <c r="P247" s="30"/>
    </row>
    <row r="248" spans="1:16" hidden="1">
      <c r="A248" s="75" t="s">
        <v>276</v>
      </c>
      <c r="B248" s="27" t="s">
        <v>209</v>
      </c>
      <c r="C248" s="67" t="s">
        <v>693</v>
      </c>
      <c r="D248" s="30" t="str">
        <f t="shared" si="5"/>
        <v>Elevée4-5 ansPrésence d'espèces nuisibles mais bien gérées</v>
      </c>
      <c r="E248" s="30">
        <v>3</v>
      </c>
      <c r="F248" s="74" t="str">
        <f t="shared" si="6"/>
        <v>Forte : les adventices concurrenceront le colza et le couvert. Améliorer la situation en jouant sur d'autres leviers agronomiques avant d'envisager l'association du colza.</v>
      </c>
      <c r="O248" s="9"/>
      <c r="P248" s="30"/>
    </row>
    <row r="249" spans="1:16" ht="15" hidden="1" thickBot="1">
      <c r="A249" s="75" t="s">
        <v>276</v>
      </c>
      <c r="B249" s="27" t="s">
        <v>209</v>
      </c>
      <c r="C249" s="76" t="s">
        <v>694</v>
      </c>
      <c r="D249" s="30" t="str">
        <f t="shared" si="5"/>
        <v>Elevée4-5 ansPrésence d'espèces nuisibles et mal gérées</v>
      </c>
      <c r="E249" s="30">
        <v>3</v>
      </c>
      <c r="F249" s="74" t="str">
        <f t="shared" si="6"/>
        <v>Forte : les adventices concurrenceront le colza et le couvert. Améliorer la situation en jouant sur d'autres leviers agronomiques avant d'envisager l'association du colza.</v>
      </c>
      <c r="O249" s="9"/>
      <c r="P249" s="30"/>
    </row>
    <row r="250" spans="1:16" hidden="1">
      <c r="A250" s="75" t="s">
        <v>276</v>
      </c>
      <c r="B250" s="75" t="s">
        <v>696</v>
      </c>
      <c r="C250" s="66" t="s">
        <v>692</v>
      </c>
      <c r="D250" s="30" t="str">
        <f t="shared" si="5"/>
        <v>Elevée≤ 3 ansPeu ou pas d'espèces nuisibles</v>
      </c>
      <c r="E250" s="30">
        <v>3</v>
      </c>
      <c r="F250" s="74" t="str">
        <f t="shared" si="6"/>
        <v>Forte : les adventices concurrenceront le colza et le couvert. Améliorer la situation en jouant sur d'autres leviers agronomiques avant d'envisager l'association du colza.</v>
      </c>
      <c r="O250" s="9"/>
      <c r="P250" s="30"/>
    </row>
    <row r="251" spans="1:16" hidden="1">
      <c r="A251" s="75" t="s">
        <v>276</v>
      </c>
      <c r="B251" s="75" t="s">
        <v>696</v>
      </c>
      <c r="C251" s="67" t="s">
        <v>693</v>
      </c>
      <c r="D251" s="30" t="str">
        <f t="shared" si="5"/>
        <v>Elevée≤ 3 ansPrésence d'espèces nuisibles mais bien gérées</v>
      </c>
      <c r="E251" s="30">
        <v>3</v>
      </c>
      <c r="F251" s="74" t="str">
        <f t="shared" si="6"/>
        <v>Forte : les adventices concurrenceront le colza et le couvert. Améliorer la situation en jouant sur d'autres leviers agronomiques avant d'envisager l'association du colza.</v>
      </c>
      <c r="O251" s="9"/>
      <c r="P251" s="30"/>
    </row>
    <row r="252" spans="1:16" ht="15" hidden="1" thickBot="1">
      <c r="A252" s="75" t="s">
        <v>276</v>
      </c>
      <c r="B252" s="75" t="s">
        <v>696</v>
      </c>
      <c r="C252" s="76" t="s">
        <v>694</v>
      </c>
      <c r="D252" s="30" t="str">
        <f t="shared" si="5"/>
        <v>Elevée≤ 3 ansPrésence d'espèces nuisibles et mal gérées</v>
      </c>
      <c r="E252" s="30">
        <v>3</v>
      </c>
      <c r="F252" s="74" t="str">
        <f t="shared" si="6"/>
        <v>Forte : les adventices concurrenceront le colza et le couvert. Améliorer la situation en jouant sur d'autres leviers agronomiques avant d'envisager l'association du colza.</v>
      </c>
      <c r="O252" s="9"/>
      <c r="P252" s="30"/>
    </row>
    <row r="253" spans="1:16" hidden="1">
      <c r="D253" s="30"/>
      <c r="E253" s="9"/>
    </row>
    <row r="254" spans="1:16" hidden="1">
      <c r="D254" s="9">
        <v>1</v>
      </c>
      <c r="E254" s="81" t="s">
        <v>626</v>
      </c>
    </row>
    <row r="255" spans="1:16" hidden="1">
      <c r="A255" s="13" t="s">
        <v>278</v>
      </c>
      <c r="D255" s="9">
        <v>2</v>
      </c>
      <c r="E255" s="81" t="s">
        <v>627</v>
      </c>
    </row>
    <row r="256" spans="1:16" hidden="1">
      <c r="A256" s="13" t="s">
        <v>6</v>
      </c>
      <c r="B256" s="9" t="s">
        <v>211</v>
      </c>
      <c r="C256" s="82" t="s">
        <v>281</v>
      </c>
      <c r="D256" s="9">
        <v>3</v>
      </c>
      <c r="E256" s="81" t="s">
        <v>628</v>
      </c>
    </row>
    <row r="257" spans="1:6" hidden="1">
      <c r="A257" s="74" t="s">
        <v>95</v>
      </c>
      <c r="B257" s="42" t="s">
        <v>7</v>
      </c>
      <c r="C257" s="77" t="s">
        <v>7</v>
      </c>
      <c r="D257" s="80" t="str">
        <f>CONCATENATE(A257,B257,C257)</f>
        <v>Très précoceFaibleFaible</v>
      </c>
      <c r="E257" s="59">
        <v>1</v>
      </c>
      <c r="F257" s="9" t="str">
        <f t="shared" ref="F257:F292" si="7">VLOOKUP(E257,RDD_note_finale,2,0)</f>
        <v>Situation favorable à l'expression des services liées aux espèces associées. Vous pouvez associer le colza à des plantes de services.</v>
      </c>
    </row>
    <row r="258" spans="1:6" hidden="1">
      <c r="A258" s="74" t="s">
        <v>95</v>
      </c>
      <c r="B258" s="42" t="s">
        <v>7</v>
      </c>
      <c r="C258" s="78" t="s">
        <v>212</v>
      </c>
      <c r="D258" s="80" t="str">
        <f t="shared" ref="D258:D292" si="8">CONCATENATE(A258,B258,C258)</f>
        <v>Très précoceFaibleMoyenne</v>
      </c>
      <c r="E258" s="59">
        <v>1</v>
      </c>
      <c r="F258" s="9" t="str">
        <f t="shared" si="7"/>
        <v>Situation favorable à l'expression des services liées aux espèces associées. Vous pouvez associer le colza à des plantes de services.</v>
      </c>
    </row>
    <row r="259" spans="1:6" hidden="1">
      <c r="A259" s="74" t="s">
        <v>95</v>
      </c>
      <c r="B259" s="42" t="s">
        <v>7</v>
      </c>
      <c r="C259" s="79" t="s">
        <v>213</v>
      </c>
      <c r="D259" s="27" t="str">
        <f t="shared" si="8"/>
        <v>Très précoceFaibleForte</v>
      </c>
      <c r="E259" s="59">
        <v>2</v>
      </c>
      <c r="F259" s="9" t="str">
        <f t="shared" si="7"/>
        <v>Toutes les bonnes conditions ne sont pas réunies. Les services attendus ne seront peut être pas au rendez-vous.</v>
      </c>
    </row>
    <row r="260" spans="1:6" hidden="1">
      <c r="A260" s="74" t="s">
        <v>95</v>
      </c>
      <c r="B260" s="27" t="s">
        <v>212</v>
      </c>
      <c r="C260" s="77" t="s">
        <v>7</v>
      </c>
      <c r="D260" s="27" t="str">
        <f t="shared" si="8"/>
        <v>Très précoceMoyenneFaible</v>
      </c>
      <c r="E260" s="83">
        <v>2</v>
      </c>
      <c r="F260" s="9" t="str">
        <f t="shared" si="7"/>
        <v>Toutes les bonnes conditions ne sont pas réunies. Les services attendus ne seront peut être pas au rendez-vous.</v>
      </c>
    </row>
    <row r="261" spans="1:6" hidden="1">
      <c r="A261" s="74" t="s">
        <v>95</v>
      </c>
      <c r="B261" s="27" t="s">
        <v>212</v>
      </c>
      <c r="C261" s="78" t="s">
        <v>212</v>
      </c>
      <c r="D261" s="27" t="str">
        <f t="shared" si="8"/>
        <v>Très précoceMoyenneMoyenne</v>
      </c>
      <c r="E261" s="83">
        <v>2</v>
      </c>
      <c r="F261" s="9" t="str">
        <f t="shared" si="7"/>
        <v>Toutes les bonnes conditions ne sont pas réunies. Les services attendus ne seront peut être pas au rendez-vous.</v>
      </c>
    </row>
    <row r="262" spans="1:6" hidden="1">
      <c r="A262" s="74" t="s">
        <v>95</v>
      </c>
      <c r="B262" s="27" t="s">
        <v>212</v>
      </c>
      <c r="C262" s="79" t="s">
        <v>213</v>
      </c>
      <c r="D262" s="27" t="str">
        <f t="shared" si="8"/>
        <v>Très précoceMoyenneForte</v>
      </c>
      <c r="E262" s="83">
        <v>2</v>
      </c>
      <c r="F262" s="9" t="str">
        <f t="shared" si="7"/>
        <v>Toutes les bonnes conditions ne sont pas réunies. Les services attendus ne seront peut être pas au rendez-vous.</v>
      </c>
    </row>
    <row r="263" spans="1:6" hidden="1">
      <c r="A263" s="74" t="s">
        <v>95</v>
      </c>
      <c r="B263" s="75" t="s">
        <v>213</v>
      </c>
      <c r="C263" s="77" t="s">
        <v>7</v>
      </c>
      <c r="D263" s="75" t="str">
        <f t="shared" si="8"/>
        <v>Très précoceForteFaible</v>
      </c>
      <c r="E263" s="83">
        <v>3</v>
      </c>
      <c r="F263" s="9" t="str">
        <f t="shared" si="7"/>
        <v xml:space="preserve">Situation défavorable et à améliorer pour que les espèces associées puissent apporter des bénéfices (notamment pour l'azote et les adventices).  </v>
      </c>
    </row>
    <row r="264" spans="1:6" hidden="1">
      <c r="A264" s="74" t="s">
        <v>95</v>
      </c>
      <c r="B264" s="75" t="s">
        <v>213</v>
      </c>
      <c r="C264" s="78" t="s">
        <v>212</v>
      </c>
      <c r="D264" s="75" t="str">
        <f t="shared" si="8"/>
        <v>Très précoceForteMoyenne</v>
      </c>
      <c r="E264" s="83">
        <v>3</v>
      </c>
      <c r="F264" s="9" t="str">
        <f t="shared" si="7"/>
        <v xml:space="preserve">Situation défavorable et à améliorer pour que les espèces associées puissent apporter des bénéfices (notamment pour l'azote et les adventices).  </v>
      </c>
    </row>
    <row r="265" spans="1:6" hidden="1">
      <c r="A265" s="74" t="s">
        <v>95</v>
      </c>
      <c r="B265" s="75" t="s">
        <v>213</v>
      </c>
      <c r="C265" s="79" t="s">
        <v>213</v>
      </c>
      <c r="D265" s="75" t="str">
        <f t="shared" si="8"/>
        <v>Très précoceForteForte</v>
      </c>
      <c r="E265" s="83">
        <v>3</v>
      </c>
      <c r="F265" s="9" t="str">
        <f t="shared" si="7"/>
        <v xml:space="preserve">Situation défavorable et à améliorer pour que les espèces associées puissent apporter des bénéfices (notamment pour l'azote et les adventices).  </v>
      </c>
    </row>
    <row r="266" spans="1:6" hidden="1">
      <c r="A266" s="42" t="s">
        <v>96</v>
      </c>
      <c r="B266" s="42" t="s">
        <v>7</v>
      </c>
      <c r="C266" s="77" t="s">
        <v>7</v>
      </c>
      <c r="D266" s="80" t="str">
        <f t="shared" si="8"/>
        <v>PrécoceFaibleFaible</v>
      </c>
      <c r="E266" s="83">
        <v>1</v>
      </c>
      <c r="F266" s="9" t="str">
        <f t="shared" si="7"/>
        <v>Situation favorable à l'expression des services liées aux espèces associées. Vous pouvez associer le colza à des plantes de services.</v>
      </c>
    </row>
    <row r="267" spans="1:6" hidden="1">
      <c r="A267" s="42" t="s">
        <v>96</v>
      </c>
      <c r="B267" s="42" t="s">
        <v>7</v>
      </c>
      <c r="C267" s="78" t="s">
        <v>212</v>
      </c>
      <c r="D267" s="80" t="str">
        <f t="shared" si="8"/>
        <v>PrécoceFaibleMoyenne</v>
      </c>
      <c r="E267" s="83">
        <v>1</v>
      </c>
      <c r="F267" s="9" t="str">
        <f t="shared" si="7"/>
        <v>Situation favorable à l'expression des services liées aux espèces associées. Vous pouvez associer le colza à des plantes de services.</v>
      </c>
    </row>
    <row r="268" spans="1:6" hidden="1">
      <c r="A268" s="42" t="s">
        <v>96</v>
      </c>
      <c r="B268" s="42" t="s">
        <v>7</v>
      </c>
      <c r="C268" s="79" t="s">
        <v>213</v>
      </c>
      <c r="D268" s="27" t="str">
        <f t="shared" si="8"/>
        <v>PrécoceFaibleForte</v>
      </c>
      <c r="E268" s="59">
        <v>2</v>
      </c>
      <c r="F268" s="9" t="str">
        <f t="shared" si="7"/>
        <v>Toutes les bonnes conditions ne sont pas réunies. Les services attendus ne seront peut être pas au rendez-vous.</v>
      </c>
    </row>
    <row r="269" spans="1:6" hidden="1">
      <c r="A269" s="42" t="s">
        <v>96</v>
      </c>
      <c r="B269" s="27" t="s">
        <v>212</v>
      </c>
      <c r="C269" s="77" t="s">
        <v>7</v>
      </c>
      <c r="D269" s="27" t="str">
        <f t="shared" si="8"/>
        <v>PrécoceMoyenneFaible</v>
      </c>
      <c r="E269" s="59">
        <v>2</v>
      </c>
      <c r="F269" s="9" t="str">
        <f t="shared" si="7"/>
        <v>Toutes les bonnes conditions ne sont pas réunies. Les services attendus ne seront peut être pas au rendez-vous.</v>
      </c>
    </row>
    <row r="270" spans="1:6" hidden="1">
      <c r="A270" s="42" t="s">
        <v>96</v>
      </c>
      <c r="B270" s="27" t="s">
        <v>212</v>
      </c>
      <c r="C270" s="78" t="s">
        <v>212</v>
      </c>
      <c r="D270" s="27" t="str">
        <f t="shared" si="8"/>
        <v>PrécoceMoyenneMoyenne</v>
      </c>
      <c r="E270" s="59">
        <v>2</v>
      </c>
      <c r="F270" s="9" t="str">
        <f t="shared" si="7"/>
        <v>Toutes les bonnes conditions ne sont pas réunies. Les services attendus ne seront peut être pas au rendez-vous.</v>
      </c>
    </row>
    <row r="271" spans="1:6" hidden="1">
      <c r="A271" s="42" t="s">
        <v>96</v>
      </c>
      <c r="B271" s="27" t="s">
        <v>212</v>
      </c>
      <c r="C271" s="79" t="s">
        <v>213</v>
      </c>
      <c r="D271" s="27" t="str">
        <f t="shared" si="8"/>
        <v>PrécoceMoyenneForte</v>
      </c>
      <c r="E271" s="59">
        <v>2</v>
      </c>
      <c r="F271" s="9" t="str">
        <f t="shared" si="7"/>
        <v>Toutes les bonnes conditions ne sont pas réunies. Les services attendus ne seront peut être pas au rendez-vous.</v>
      </c>
    </row>
    <row r="272" spans="1:6" hidden="1">
      <c r="A272" s="42" t="s">
        <v>96</v>
      </c>
      <c r="B272" s="75" t="s">
        <v>213</v>
      </c>
      <c r="C272" s="77" t="s">
        <v>7</v>
      </c>
      <c r="D272" s="75" t="str">
        <f t="shared" si="8"/>
        <v>PrécoceForteFaible</v>
      </c>
      <c r="E272" s="59">
        <v>3</v>
      </c>
      <c r="F272" s="9" t="str">
        <f t="shared" si="7"/>
        <v xml:space="preserve">Situation défavorable et à améliorer pour que les espèces associées puissent apporter des bénéfices (notamment pour l'azote et les adventices).  </v>
      </c>
    </row>
    <row r="273" spans="1:6" hidden="1">
      <c r="A273" s="42" t="s">
        <v>96</v>
      </c>
      <c r="B273" s="75" t="s">
        <v>213</v>
      </c>
      <c r="C273" s="78" t="s">
        <v>212</v>
      </c>
      <c r="D273" s="75" t="str">
        <f t="shared" si="8"/>
        <v>PrécoceForteMoyenne</v>
      </c>
      <c r="E273" s="59">
        <v>3</v>
      </c>
      <c r="F273" s="9" t="str">
        <f t="shared" si="7"/>
        <v xml:space="preserve">Situation défavorable et à améliorer pour que les espèces associées puissent apporter des bénéfices (notamment pour l'azote et les adventices).  </v>
      </c>
    </row>
    <row r="274" spans="1:6" hidden="1">
      <c r="A274" s="42" t="s">
        <v>96</v>
      </c>
      <c r="B274" s="75" t="s">
        <v>213</v>
      </c>
      <c r="C274" s="79" t="s">
        <v>213</v>
      </c>
      <c r="D274" s="75" t="str">
        <f t="shared" si="8"/>
        <v>PrécoceForteForte</v>
      </c>
      <c r="E274" s="59">
        <v>3</v>
      </c>
      <c r="F274" s="9" t="str">
        <f t="shared" si="7"/>
        <v xml:space="preserve">Situation défavorable et à améliorer pour que les espèces associées puissent apporter des bénéfices (notamment pour l'azote et les adventices).  </v>
      </c>
    </row>
    <row r="275" spans="1:6" hidden="1">
      <c r="A275" s="27" t="s">
        <v>11</v>
      </c>
      <c r="B275" s="42" t="s">
        <v>7</v>
      </c>
      <c r="C275" s="77" t="s">
        <v>7</v>
      </c>
      <c r="D275" s="27" t="str">
        <f t="shared" si="8"/>
        <v>IntermédiaireFaibleFaible</v>
      </c>
      <c r="E275" s="59">
        <v>2</v>
      </c>
      <c r="F275" s="9" t="str">
        <f t="shared" si="7"/>
        <v>Toutes les bonnes conditions ne sont pas réunies. Les services attendus ne seront peut être pas au rendez-vous.</v>
      </c>
    </row>
    <row r="276" spans="1:6" hidden="1">
      <c r="A276" s="27" t="s">
        <v>11</v>
      </c>
      <c r="B276" s="42" t="s">
        <v>7</v>
      </c>
      <c r="C276" s="78" t="s">
        <v>212</v>
      </c>
      <c r="D276" s="27" t="str">
        <f t="shared" si="8"/>
        <v>IntermédiaireFaibleMoyenne</v>
      </c>
      <c r="E276" s="59">
        <v>2</v>
      </c>
      <c r="F276" s="9" t="str">
        <f t="shared" si="7"/>
        <v>Toutes les bonnes conditions ne sont pas réunies. Les services attendus ne seront peut être pas au rendez-vous.</v>
      </c>
    </row>
    <row r="277" spans="1:6" hidden="1">
      <c r="A277" s="27" t="s">
        <v>11</v>
      </c>
      <c r="B277" s="42" t="s">
        <v>7</v>
      </c>
      <c r="C277" s="79" t="s">
        <v>213</v>
      </c>
      <c r="D277" s="27" t="str">
        <f t="shared" si="8"/>
        <v>IntermédiaireFaibleForte</v>
      </c>
      <c r="E277" s="59">
        <v>2</v>
      </c>
      <c r="F277" s="9" t="str">
        <f t="shared" si="7"/>
        <v>Toutes les bonnes conditions ne sont pas réunies. Les services attendus ne seront peut être pas au rendez-vous.</v>
      </c>
    </row>
    <row r="278" spans="1:6" hidden="1">
      <c r="A278" s="27" t="s">
        <v>11</v>
      </c>
      <c r="B278" s="27" t="s">
        <v>212</v>
      </c>
      <c r="C278" s="77" t="s">
        <v>7</v>
      </c>
      <c r="D278" s="27" t="str">
        <f t="shared" si="8"/>
        <v>IntermédiaireMoyenneFaible</v>
      </c>
      <c r="E278" s="59">
        <v>2</v>
      </c>
      <c r="F278" s="9" t="str">
        <f t="shared" si="7"/>
        <v>Toutes les bonnes conditions ne sont pas réunies. Les services attendus ne seront peut être pas au rendez-vous.</v>
      </c>
    </row>
    <row r="279" spans="1:6" hidden="1">
      <c r="A279" s="27" t="s">
        <v>11</v>
      </c>
      <c r="B279" s="27" t="s">
        <v>212</v>
      </c>
      <c r="C279" s="78" t="s">
        <v>212</v>
      </c>
      <c r="D279" s="27" t="str">
        <f t="shared" si="8"/>
        <v>IntermédiaireMoyenneMoyenne</v>
      </c>
      <c r="E279" s="59">
        <v>2</v>
      </c>
      <c r="F279" s="9" t="str">
        <f t="shared" si="7"/>
        <v>Toutes les bonnes conditions ne sont pas réunies. Les services attendus ne seront peut être pas au rendez-vous.</v>
      </c>
    </row>
    <row r="280" spans="1:6" hidden="1">
      <c r="A280" s="27" t="s">
        <v>11</v>
      </c>
      <c r="B280" s="27" t="s">
        <v>212</v>
      </c>
      <c r="C280" s="79" t="s">
        <v>213</v>
      </c>
      <c r="D280" s="75" t="str">
        <f t="shared" si="8"/>
        <v>IntermédiaireMoyenneForte</v>
      </c>
      <c r="E280" s="59">
        <v>3</v>
      </c>
      <c r="F280" s="9" t="str">
        <f t="shared" si="7"/>
        <v xml:space="preserve">Situation défavorable et à améliorer pour que les espèces associées puissent apporter des bénéfices (notamment pour l'azote et les adventices).  </v>
      </c>
    </row>
    <row r="281" spans="1:6" hidden="1">
      <c r="A281" s="27" t="s">
        <v>11</v>
      </c>
      <c r="B281" s="75" t="s">
        <v>213</v>
      </c>
      <c r="C281" s="77" t="s">
        <v>7</v>
      </c>
      <c r="D281" s="75" t="str">
        <f t="shared" si="8"/>
        <v>IntermédiaireForteFaible</v>
      </c>
      <c r="E281" s="59">
        <v>3</v>
      </c>
      <c r="F281" s="9" t="str">
        <f t="shared" si="7"/>
        <v xml:space="preserve">Situation défavorable et à améliorer pour que les espèces associées puissent apporter des bénéfices (notamment pour l'azote et les adventices).  </v>
      </c>
    </row>
    <row r="282" spans="1:6" hidden="1">
      <c r="A282" s="27" t="s">
        <v>11</v>
      </c>
      <c r="B282" s="75" t="s">
        <v>213</v>
      </c>
      <c r="C282" s="78" t="s">
        <v>212</v>
      </c>
      <c r="D282" s="75" t="str">
        <f t="shared" si="8"/>
        <v>IntermédiaireForteMoyenne</v>
      </c>
      <c r="E282" s="59">
        <v>3</v>
      </c>
      <c r="F282" s="9" t="str">
        <f t="shared" si="7"/>
        <v xml:space="preserve">Situation défavorable et à améliorer pour que les espèces associées puissent apporter des bénéfices (notamment pour l'azote et les adventices).  </v>
      </c>
    </row>
    <row r="283" spans="1:6" hidden="1">
      <c r="A283" s="27" t="s">
        <v>11</v>
      </c>
      <c r="B283" s="75" t="s">
        <v>213</v>
      </c>
      <c r="C283" s="79" t="s">
        <v>213</v>
      </c>
      <c r="D283" s="75" t="str">
        <f t="shared" si="8"/>
        <v>IntermédiaireForteForte</v>
      </c>
      <c r="E283" s="59">
        <v>3</v>
      </c>
      <c r="F283" s="9" t="str">
        <f t="shared" si="7"/>
        <v xml:space="preserve">Situation défavorable et à améliorer pour que les espèces associées puissent apporter des bénéfices (notamment pour l'azote et les adventices).  </v>
      </c>
    </row>
    <row r="284" spans="1:6" hidden="1">
      <c r="A284" s="75" t="s">
        <v>10</v>
      </c>
      <c r="B284" s="42" t="s">
        <v>7</v>
      </c>
      <c r="C284" s="77" t="s">
        <v>7</v>
      </c>
      <c r="D284" s="75" t="str">
        <f t="shared" si="8"/>
        <v>TardiveFaibleFaible</v>
      </c>
      <c r="E284" s="59">
        <v>3</v>
      </c>
      <c r="F284" s="9" t="str">
        <f t="shared" si="7"/>
        <v xml:space="preserve">Situation défavorable et à améliorer pour que les espèces associées puissent apporter des bénéfices (notamment pour l'azote et les adventices).  </v>
      </c>
    </row>
    <row r="285" spans="1:6" hidden="1">
      <c r="A285" s="75" t="s">
        <v>10</v>
      </c>
      <c r="B285" s="42" t="s">
        <v>7</v>
      </c>
      <c r="C285" s="78" t="s">
        <v>212</v>
      </c>
      <c r="D285" s="75" t="str">
        <f t="shared" si="8"/>
        <v>TardiveFaibleMoyenne</v>
      </c>
      <c r="E285" s="59">
        <v>3</v>
      </c>
      <c r="F285" s="9" t="str">
        <f t="shared" si="7"/>
        <v xml:space="preserve">Situation défavorable et à améliorer pour que les espèces associées puissent apporter des bénéfices (notamment pour l'azote et les adventices).  </v>
      </c>
    </row>
    <row r="286" spans="1:6" hidden="1">
      <c r="A286" s="75" t="s">
        <v>10</v>
      </c>
      <c r="B286" s="42" t="s">
        <v>7</v>
      </c>
      <c r="C286" s="79" t="s">
        <v>213</v>
      </c>
      <c r="D286" s="75" t="str">
        <f t="shared" si="8"/>
        <v>TardiveFaibleForte</v>
      </c>
      <c r="E286" s="59">
        <v>3</v>
      </c>
      <c r="F286" s="9" t="str">
        <f t="shared" si="7"/>
        <v xml:space="preserve">Situation défavorable et à améliorer pour que les espèces associées puissent apporter des bénéfices (notamment pour l'azote et les adventices).  </v>
      </c>
    </row>
    <row r="287" spans="1:6" hidden="1">
      <c r="A287" s="75" t="s">
        <v>10</v>
      </c>
      <c r="B287" s="27" t="s">
        <v>212</v>
      </c>
      <c r="C287" s="77" t="s">
        <v>7</v>
      </c>
      <c r="D287" s="75" t="str">
        <f t="shared" si="8"/>
        <v>TardiveMoyenneFaible</v>
      </c>
      <c r="E287" s="59">
        <v>3</v>
      </c>
      <c r="F287" s="9" t="str">
        <f t="shared" si="7"/>
        <v xml:space="preserve">Situation défavorable et à améliorer pour que les espèces associées puissent apporter des bénéfices (notamment pour l'azote et les adventices).  </v>
      </c>
    </row>
    <row r="288" spans="1:6" hidden="1">
      <c r="A288" s="75" t="s">
        <v>10</v>
      </c>
      <c r="B288" s="27" t="s">
        <v>212</v>
      </c>
      <c r="C288" s="78" t="s">
        <v>212</v>
      </c>
      <c r="D288" s="75" t="str">
        <f t="shared" si="8"/>
        <v>TardiveMoyenneMoyenne</v>
      </c>
      <c r="E288" s="59">
        <v>3</v>
      </c>
      <c r="F288" s="9" t="str">
        <f t="shared" si="7"/>
        <v xml:space="preserve">Situation défavorable et à améliorer pour que les espèces associées puissent apporter des bénéfices (notamment pour l'azote et les adventices).  </v>
      </c>
    </row>
    <row r="289" spans="1:6" hidden="1">
      <c r="A289" s="75" t="s">
        <v>10</v>
      </c>
      <c r="B289" s="27" t="s">
        <v>212</v>
      </c>
      <c r="C289" s="79" t="s">
        <v>213</v>
      </c>
      <c r="D289" s="75" t="str">
        <f t="shared" si="8"/>
        <v>TardiveMoyenneForte</v>
      </c>
      <c r="E289" s="59">
        <v>3</v>
      </c>
      <c r="F289" s="9" t="str">
        <f t="shared" si="7"/>
        <v xml:space="preserve">Situation défavorable et à améliorer pour que les espèces associées puissent apporter des bénéfices (notamment pour l'azote et les adventices).  </v>
      </c>
    </row>
    <row r="290" spans="1:6" hidden="1">
      <c r="A290" s="75" t="s">
        <v>10</v>
      </c>
      <c r="B290" s="75" t="s">
        <v>213</v>
      </c>
      <c r="C290" s="77" t="s">
        <v>7</v>
      </c>
      <c r="D290" s="75" t="str">
        <f t="shared" si="8"/>
        <v>TardiveForteFaible</v>
      </c>
      <c r="E290" s="59">
        <v>3</v>
      </c>
      <c r="F290" s="9" t="str">
        <f t="shared" si="7"/>
        <v xml:space="preserve">Situation défavorable et à améliorer pour que les espèces associées puissent apporter des bénéfices (notamment pour l'azote et les adventices).  </v>
      </c>
    </row>
    <row r="291" spans="1:6" hidden="1">
      <c r="A291" s="75" t="s">
        <v>10</v>
      </c>
      <c r="B291" s="75" t="s">
        <v>213</v>
      </c>
      <c r="C291" s="78" t="s">
        <v>212</v>
      </c>
      <c r="D291" s="75" t="str">
        <f t="shared" si="8"/>
        <v>TardiveForteMoyenne</v>
      </c>
      <c r="E291" s="59">
        <v>3</v>
      </c>
      <c r="F291" s="9" t="str">
        <f t="shared" si="7"/>
        <v xml:space="preserve">Situation défavorable et à améliorer pour que les espèces associées puissent apporter des bénéfices (notamment pour l'azote et les adventices).  </v>
      </c>
    </row>
    <row r="292" spans="1:6" hidden="1">
      <c r="A292" s="75" t="s">
        <v>10</v>
      </c>
      <c r="B292" s="75" t="s">
        <v>213</v>
      </c>
      <c r="C292" s="79" t="s">
        <v>213</v>
      </c>
      <c r="D292" s="75" t="str">
        <f t="shared" si="8"/>
        <v>TardiveForteForte</v>
      </c>
      <c r="E292" s="59">
        <v>3</v>
      </c>
      <c r="F292" s="9" t="str">
        <f t="shared" si="7"/>
        <v xml:space="preserve">Situation défavorable et à améliorer pour que les espèces associées puissent apporter des bénéfices (notamment pour l'azote et les adventices).  </v>
      </c>
    </row>
  </sheetData>
  <sheetProtection password="CDF2" sheet="1" objects="1" scenarios="1" selectLockedCells="1"/>
  <mergeCells count="25">
    <mergeCell ref="A1:D1"/>
    <mergeCell ref="A4:B4"/>
    <mergeCell ref="A2:D2"/>
    <mergeCell ref="A7:D7"/>
    <mergeCell ref="A21:B21"/>
    <mergeCell ref="C8:C10"/>
    <mergeCell ref="A8:A10"/>
    <mergeCell ref="A14:A16"/>
    <mergeCell ref="D8:D16"/>
    <mergeCell ref="A17:D17"/>
    <mergeCell ref="A11:A13"/>
    <mergeCell ref="C11:C13"/>
    <mergeCell ref="C14:C16"/>
    <mergeCell ref="C18:C20"/>
    <mergeCell ref="A18:A20"/>
    <mergeCell ref="D20:D23"/>
    <mergeCell ref="F3:G6"/>
    <mergeCell ref="D4:D5"/>
    <mergeCell ref="A5:B5"/>
    <mergeCell ref="A3:D3"/>
    <mergeCell ref="A25:D25"/>
    <mergeCell ref="A24:D24"/>
    <mergeCell ref="A22:B22"/>
    <mergeCell ref="A23:B23"/>
    <mergeCell ref="D18:D19"/>
  </mergeCells>
  <conditionalFormatting sqref="D4:D5">
    <cfRule type="containsText" dxfId="45" priority="22" stopIfTrue="1" operator="containsText" text="favorable">
      <formula>NOT(ISERROR(SEARCH("favorable",D4)))</formula>
    </cfRule>
    <cfRule type="containsText" dxfId="44" priority="23" stopIfTrue="1" operator="containsText" text="Tardive">
      <formula>NOT(ISERROR(SEARCH("Tardive",D4)))</formula>
    </cfRule>
    <cfRule type="containsText" dxfId="43" priority="25" stopIfTrue="1" operator="containsText" text="idéale">
      <formula>NOT(ISERROR(SEARCH("idéale",D4)))</formula>
    </cfRule>
    <cfRule type="containsText" dxfId="42" priority="26" stopIfTrue="1" operator="containsText" text="Intermédiaire">
      <formula>NOT(ISERROR(SEARCH("Intermédiaire",D4)))</formula>
    </cfRule>
  </conditionalFormatting>
  <conditionalFormatting sqref="D8">
    <cfRule type="containsText" dxfId="41" priority="19" stopIfTrue="1" operator="containsText" text="Forte">
      <formula>NOT(ISERROR(SEARCH("Forte",D8)))</formula>
    </cfRule>
    <cfRule type="containsText" dxfId="40" priority="20" stopIfTrue="1" operator="containsText" text="Moyenne">
      <formula>NOT(ISERROR(SEARCH("Moyenne",D8)))</formula>
    </cfRule>
    <cfRule type="containsText" dxfId="39" priority="21" stopIfTrue="1" operator="containsText" text="Faible">
      <formula>NOT(ISERROR(SEARCH("Faible",D8)))</formula>
    </cfRule>
  </conditionalFormatting>
  <conditionalFormatting sqref="D20">
    <cfRule type="containsText" dxfId="38" priority="9" operator="containsText" text="particuliers">
      <formula>NOT(ISERROR(SEARCH("particuliers",D20)))</formula>
    </cfRule>
  </conditionalFormatting>
  <conditionalFormatting sqref="D20:D23">
    <cfRule type="containsText" dxfId="37" priority="6" stopIfTrue="1" operator="containsText" text="idéale">
      <formula>NOT(ISERROR(SEARCH("idéale",D20)))</formula>
    </cfRule>
    <cfRule type="containsText" dxfId="36" priority="8" operator="containsText" text="vigoureux">
      <formula>NOT(ISERROR(SEARCH("vigoureux",D20)))</formula>
    </cfRule>
  </conditionalFormatting>
  <conditionalFormatting sqref="D18:D19">
    <cfRule type="containsText" dxfId="35" priority="4" stopIfTrue="1" operator="containsText" text="Forts">
      <formula>NOT(ISERROR(SEARCH("Forts",D18)))</formula>
    </cfRule>
    <cfRule type="containsText" dxfId="34" priority="5" stopIfTrue="1" operator="containsText" text="moyens">
      <formula>NOT(ISERROR(SEARCH("moyens",D18)))</formula>
    </cfRule>
    <cfRule type="containsText" dxfId="33" priority="7" operator="containsText" text="Faibles">
      <formula>NOT(ISERROR(SEARCH("Faibles",D18)))</formula>
    </cfRule>
  </conditionalFormatting>
  <conditionalFormatting sqref="A25:D25">
    <cfRule type="containsText" dxfId="32" priority="1" stopIfTrue="1" operator="containsText" text="rendez-vous">
      <formula>NOT(ISERROR(SEARCH("rendez-vous",A25)))</formula>
    </cfRule>
    <cfRule type="containsText" dxfId="31" priority="2" stopIfTrue="1" operator="containsText" text="défavorable">
      <formula>NOT(ISERROR(SEARCH("défavorable",A25)))</formula>
    </cfRule>
    <cfRule type="containsText" dxfId="30" priority="3" stopIfTrue="1" operator="containsText" text="expression">
      <formula>NOT(ISERROR(SEARCH("expression",A25)))</formula>
    </cfRule>
  </conditionalFormatting>
  <dataValidations count="7">
    <dataValidation type="list" allowBlank="1" showInputMessage="1" showErrorMessage="1" sqref="C5">
      <formula1>$A$39:$A$47</formula1>
    </dataValidation>
    <dataValidation type="list" allowBlank="1" showInputMessage="1" showErrorMessage="1" sqref="C14">
      <formula1>$D$39:$D$41</formula1>
    </dataValidation>
    <dataValidation type="list" allowBlank="1" showInputMessage="1" showErrorMessage="1" sqref="C11">
      <formula1>$C$39:$C$41</formula1>
    </dataValidation>
    <dataValidation type="list" allowBlank="1" showInputMessage="1" showErrorMessage="1" sqref="C8:C10">
      <formula1>$B$39:$B$41</formula1>
    </dataValidation>
    <dataValidation type="list" allowBlank="1" showInputMessage="1" showErrorMessage="1" sqref="C22:C23">
      <formula1>$G$39:$G$40</formula1>
    </dataValidation>
    <dataValidation type="list" allowBlank="1" showInputMessage="1" showErrorMessage="1" sqref="C21">
      <formula1>$F$39:$F$40</formula1>
    </dataValidation>
    <dataValidation type="list" allowBlank="1" showInputMessage="1" showErrorMessage="1" sqref="C18">
      <formula1>$E$39:$E$41</formula1>
    </dataValidation>
  </dataValidations>
  <pageMargins left="0.7" right="0.7" top="0.75" bottom="0.75" header="0.3" footer="0.3"/>
  <pageSetup paperSize="9" scale="28" orientation="portrait"/>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enableFormatConditionsCalculation="0">
    <tabColor theme="4"/>
    <pageSetUpPr fitToPage="1"/>
  </sheetPr>
  <dimension ref="A1:O85"/>
  <sheetViews>
    <sheetView workbookViewId="0">
      <selection activeCell="B66" sqref="A41:XFD66"/>
    </sheetView>
  </sheetViews>
  <sheetFormatPr baseColWidth="10" defaultColWidth="10.83203125" defaultRowHeight="14" x14ac:dyDescent="0"/>
  <cols>
    <col min="1" max="1" width="27.1640625" style="84" customWidth="1"/>
    <col min="2" max="2" width="58.5" style="84" customWidth="1"/>
    <col min="3" max="3" width="19.83203125" style="84" customWidth="1"/>
    <col min="4" max="4" width="46.5" style="84" customWidth="1"/>
    <col min="5" max="5" width="23" style="278" customWidth="1"/>
    <col min="6" max="6" width="10.83203125" style="84"/>
    <col min="7" max="7" width="27.1640625" style="84" customWidth="1"/>
    <col min="8" max="9" width="10.83203125" style="84"/>
    <col min="10" max="10" width="21.6640625" style="84" customWidth="1"/>
    <col min="11" max="16384" width="10.83203125" style="84"/>
  </cols>
  <sheetData>
    <row r="1" spans="1:6" ht="54" customHeight="1" thickBot="1">
      <c r="A1" s="529" t="s">
        <v>617</v>
      </c>
      <c r="B1" s="530"/>
      <c r="C1" s="530"/>
      <c r="D1" s="530"/>
      <c r="E1" s="530"/>
    </row>
    <row r="2" spans="1:6" ht="17" customHeight="1">
      <c r="A2" s="521" t="s">
        <v>89</v>
      </c>
      <c r="B2" s="517" t="s">
        <v>407</v>
      </c>
      <c r="C2" s="35" t="s">
        <v>7</v>
      </c>
      <c r="D2" s="31" t="s">
        <v>63</v>
      </c>
      <c r="E2" s="511" t="str">
        <f>IF(ISNA(VLOOKUP('Associer son colza'!C4,'Associer son colza'!A95:D189,3,0)),"-",VLOOKUP('Associer son colza'!C4,'Associer son colza'!A95:D189,3,0))</f>
        <v>-</v>
      </c>
      <c r="F2" s="271"/>
    </row>
    <row r="3" spans="1:6" ht="28.5" customHeight="1">
      <c r="A3" s="522"/>
      <c r="B3" s="518"/>
      <c r="C3" s="36" t="s">
        <v>8</v>
      </c>
      <c r="D3" s="304" t="s">
        <v>64</v>
      </c>
      <c r="E3" s="512"/>
      <c r="F3" s="271"/>
    </row>
    <row r="4" spans="1:6" ht="17" customHeight="1" thickBot="1">
      <c r="A4" s="522"/>
      <c r="B4" s="519"/>
      <c r="C4" s="37" t="s">
        <v>9</v>
      </c>
      <c r="D4" s="32" t="s">
        <v>781</v>
      </c>
      <c r="E4" s="513"/>
      <c r="F4" s="271"/>
    </row>
    <row r="5" spans="1:6" ht="17" customHeight="1">
      <c r="A5" s="522"/>
      <c r="B5" s="517" t="s">
        <v>408</v>
      </c>
      <c r="C5" s="35" t="s">
        <v>9</v>
      </c>
      <c r="D5" s="31" t="s">
        <v>49</v>
      </c>
      <c r="E5" s="511" t="str">
        <f>IF(ISNA(VLOOKUP('Associer son colza'!C4,'Associer son colza'!A95:D189,4,0)),"-",VLOOKUP('Associer son colza'!C4,'Associer son colza'!A95:D189,4,0))</f>
        <v>-</v>
      </c>
      <c r="F5" s="271"/>
    </row>
    <row r="6" spans="1:6" ht="17" customHeight="1">
      <c r="A6" s="522"/>
      <c r="B6" s="518"/>
      <c r="C6" s="36" t="s">
        <v>8</v>
      </c>
      <c r="D6" s="33" t="s">
        <v>50</v>
      </c>
      <c r="E6" s="512"/>
      <c r="F6" s="271"/>
    </row>
    <row r="7" spans="1:6" ht="17" customHeight="1" thickBot="1">
      <c r="A7" s="523"/>
      <c r="B7" s="519"/>
      <c r="C7" s="37" t="s">
        <v>7</v>
      </c>
      <c r="D7" s="32" t="s">
        <v>51</v>
      </c>
      <c r="E7" s="513"/>
      <c r="F7" s="271"/>
    </row>
    <row r="8" spans="1:6" ht="32.25" customHeight="1">
      <c r="A8" s="521" t="s">
        <v>90</v>
      </c>
      <c r="B8" s="527" t="s">
        <v>219</v>
      </c>
      <c r="C8" s="35" t="s">
        <v>27</v>
      </c>
      <c r="D8" s="31" t="s">
        <v>55</v>
      </c>
      <c r="E8" s="524"/>
    </row>
    <row r="9" spans="1:6" ht="32.25" customHeight="1" thickBot="1">
      <c r="A9" s="522"/>
      <c r="B9" s="528"/>
      <c r="C9" s="36" t="s">
        <v>28</v>
      </c>
      <c r="D9" s="32" t="s">
        <v>56</v>
      </c>
      <c r="E9" s="526"/>
    </row>
    <row r="10" spans="1:6" ht="26" customHeight="1">
      <c r="A10" s="522"/>
      <c r="B10" s="518" t="s">
        <v>618</v>
      </c>
      <c r="C10" s="35" t="s">
        <v>9</v>
      </c>
      <c r="D10" s="33" t="s">
        <v>52</v>
      </c>
      <c r="E10" s="524"/>
    </row>
    <row r="11" spans="1:6" ht="26" customHeight="1">
      <c r="A11" s="522"/>
      <c r="B11" s="518"/>
      <c r="C11" s="36" t="s">
        <v>8</v>
      </c>
      <c r="D11" s="33" t="s">
        <v>53</v>
      </c>
      <c r="E11" s="525"/>
    </row>
    <row r="12" spans="1:6" ht="26" customHeight="1" thickBot="1">
      <c r="A12" s="522"/>
      <c r="B12" s="518"/>
      <c r="C12" s="37" t="s">
        <v>7</v>
      </c>
      <c r="D12" s="32" t="s">
        <v>54</v>
      </c>
      <c r="E12" s="526"/>
    </row>
    <row r="13" spans="1:6" ht="27.75" customHeight="1">
      <c r="A13" s="522"/>
      <c r="B13" s="528" t="s">
        <v>305</v>
      </c>
      <c r="C13" s="36" t="s">
        <v>9</v>
      </c>
      <c r="D13" s="31" t="s">
        <v>44</v>
      </c>
      <c r="E13" s="511" t="str">
        <f>'Associer son colza'!E8</f>
        <v>-</v>
      </c>
    </row>
    <row r="14" spans="1:6" ht="27.75" customHeight="1">
      <c r="A14" s="522"/>
      <c r="B14" s="528"/>
      <c r="C14" s="36" t="s">
        <v>8</v>
      </c>
      <c r="D14" s="33" t="s">
        <v>45</v>
      </c>
      <c r="E14" s="512"/>
      <c r="F14" s="271"/>
    </row>
    <row r="15" spans="1:6" ht="27.75" customHeight="1" thickBot="1">
      <c r="A15" s="522"/>
      <c r="B15" s="528"/>
      <c r="C15" s="36" t="s">
        <v>7</v>
      </c>
      <c r="D15" s="33" t="s">
        <v>46</v>
      </c>
      <c r="E15" s="513"/>
      <c r="F15" s="271"/>
    </row>
    <row r="16" spans="1:6" ht="29" customHeight="1">
      <c r="A16" s="522"/>
      <c r="B16" s="514" t="s">
        <v>215</v>
      </c>
      <c r="C16" s="35" t="s">
        <v>57</v>
      </c>
      <c r="D16" s="31" t="s">
        <v>58</v>
      </c>
      <c r="E16" s="524"/>
    </row>
    <row r="17" spans="1:12" ht="29" customHeight="1">
      <c r="A17" s="522"/>
      <c r="B17" s="515"/>
      <c r="C17" s="36" t="s">
        <v>21</v>
      </c>
      <c r="D17" s="33" t="s">
        <v>59</v>
      </c>
      <c r="E17" s="525"/>
    </row>
    <row r="18" spans="1:12" ht="29" customHeight="1" thickBot="1">
      <c r="A18" s="522"/>
      <c r="B18" s="516"/>
      <c r="C18" s="37" t="s">
        <v>22</v>
      </c>
      <c r="D18" s="32" t="s">
        <v>60</v>
      </c>
      <c r="E18" s="526"/>
    </row>
    <row r="19" spans="1:12" ht="28">
      <c r="A19" s="522"/>
      <c r="B19" s="520" t="s">
        <v>88</v>
      </c>
      <c r="C19" s="35" t="s">
        <v>27</v>
      </c>
      <c r="D19" s="31" t="s">
        <v>61</v>
      </c>
      <c r="E19" s="524"/>
    </row>
    <row r="20" spans="1:12" ht="21.75" customHeight="1" thickBot="1">
      <c r="A20" s="522"/>
      <c r="B20" s="516"/>
      <c r="C20" s="37" t="s">
        <v>28</v>
      </c>
      <c r="D20" s="32" t="s">
        <v>62</v>
      </c>
      <c r="E20" s="526"/>
    </row>
    <row r="21" spans="1:12" ht="23" customHeight="1">
      <c r="A21" s="522"/>
      <c r="B21" s="527" t="s">
        <v>622</v>
      </c>
      <c r="C21" s="35" t="s">
        <v>9</v>
      </c>
      <c r="D21" s="31" t="s">
        <v>619</v>
      </c>
      <c r="E21" s="511" t="str">
        <f>'Associer son colza'!E18</f>
        <v>-</v>
      </c>
    </row>
    <row r="22" spans="1:12" ht="23" customHeight="1">
      <c r="A22" s="522"/>
      <c r="B22" s="528"/>
      <c r="C22" s="36" t="s">
        <v>8</v>
      </c>
      <c r="D22" s="33" t="s">
        <v>620</v>
      </c>
      <c r="E22" s="512"/>
    </row>
    <row r="23" spans="1:12" ht="23" customHeight="1" thickBot="1">
      <c r="A23" s="522"/>
      <c r="B23" s="528"/>
      <c r="C23" s="36" t="s">
        <v>7</v>
      </c>
      <c r="D23" s="33" t="s">
        <v>621</v>
      </c>
      <c r="E23" s="513"/>
    </row>
    <row r="24" spans="1:12" ht="17" customHeight="1">
      <c r="A24" s="522"/>
      <c r="B24" s="517" t="s">
        <v>409</v>
      </c>
      <c r="C24" s="35" t="s">
        <v>301</v>
      </c>
      <c r="D24" s="31" t="s">
        <v>336</v>
      </c>
      <c r="E24" s="524"/>
    </row>
    <row r="25" spans="1:12" ht="17" customHeight="1">
      <c r="A25" s="522"/>
      <c r="B25" s="518"/>
      <c r="C25" s="36" t="s">
        <v>327</v>
      </c>
      <c r="D25" s="33" t="s">
        <v>337</v>
      </c>
      <c r="E25" s="525"/>
    </row>
    <row r="26" spans="1:12" ht="17" customHeight="1" thickBot="1">
      <c r="A26" s="523"/>
      <c r="B26" s="519"/>
      <c r="C26" s="37" t="s">
        <v>302</v>
      </c>
      <c r="D26" s="32" t="s">
        <v>338</v>
      </c>
      <c r="E26" s="526"/>
    </row>
    <row r="27" spans="1:12" s="19" customFormat="1" ht="15" customHeight="1">
      <c r="A27" s="522" t="s">
        <v>91</v>
      </c>
      <c r="B27" s="508" t="s">
        <v>410</v>
      </c>
      <c r="C27" s="35" t="s">
        <v>10</v>
      </c>
      <c r="D27" s="31" t="s">
        <v>47</v>
      </c>
      <c r="E27" s="531" t="str">
        <f>'Associer son colza'!E4</f>
        <v>-</v>
      </c>
    </row>
    <row r="28" spans="1:12" s="19" customFormat="1">
      <c r="A28" s="522"/>
      <c r="B28" s="509"/>
      <c r="C28" s="36" t="s">
        <v>11</v>
      </c>
      <c r="D28" s="33" t="s">
        <v>48</v>
      </c>
      <c r="E28" s="532"/>
    </row>
    <row r="29" spans="1:12" s="19" customFormat="1" ht="34.5" customHeight="1">
      <c r="A29" s="522"/>
      <c r="B29" s="509"/>
      <c r="C29" s="36" t="s">
        <v>12</v>
      </c>
      <c r="D29" s="33" t="s">
        <v>93</v>
      </c>
      <c r="E29" s="532"/>
    </row>
    <row r="30" spans="1:12" s="19" customFormat="1" ht="29" thickBot="1">
      <c r="A30" s="522"/>
      <c r="B30" s="510"/>
      <c r="C30" s="38" t="s">
        <v>13</v>
      </c>
      <c r="D30" s="34" t="s">
        <v>92</v>
      </c>
      <c r="E30" s="533"/>
      <c r="G30" s="272"/>
      <c r="H30" s="273"/>
      <c r="I30" s="274"/>
      <c r="J30" s="275"/>
      <c r="K30" s="275"/>
      <c r="L30" s="275"/>
    </row>
    <row r="31" spans="1:12" s="19" customFormat="1" ht="42">
      <c r="A31" s="522"/>
      <c r="B31" s="508" t="s">
        <v>411</v>
      </c>
      <c r="C31" s="36" t="s">
        <v>65</v>
      </c>
      <c r="D31" s="33" t="s">
        <v>412</v>
      </c>
      <c r="E31" s="535"/>
    </row>
    <row r="32" spans="1:12" ht="43" thickBot="1">
      <c r="A32" s="523"/>
      <c r="B32" s="534"/>
      <c r="C32" s="37" t="s">
        <v>220</v>
      </c>
      <c r="D32" s="32" t="s">
        <v>300</v>
      </c>
      <c r="E32" s="536"/>
    </row>
    <row r="33" spans="1:15">
      <c r="B33" s="272"/>
      <c r="C33" s="273"/>
      <c r="D33" s="274"/>
      <c r="E33" s="272"/>
    </row>
    <row r="34" spans="1:15">
      <c r="B34" s="19"/>
      <c r="E34" s="279"/>
    </row>
    <row r="35" spans="1:15" hidden="1">
      <c r="D35" s="19"/>
      <c r="E35" s="279"/>
    </row>
    <row r="36" spans="1:15" ht="15" hidden="1">
      <c r="A36" s="276" t="s">
        <v>322</v>
      </c>
      <c r="B36" s="276" t="s">
        <v>323</v>
      </c>
      <c r="C36" s="276" t="s">
        <v>324</v>
      </c>
      <c r="D36" s="276" t="s">
        <v>325</v>
      </c>
      <c r="E36" s="276" t="s">
        <v>326</v>
      </c>
      <c r="F36" s="276" t="s">
        <v>6</v>
      </c>
      <c r="G36" s="276" t="s">
        <v>339</v>
      </c>
      <c r="H36" s="276" t="s">
        <v>341</v>
      </c>
      <c r="I36" s="276" t="s">
        <v>15</v>
      </c>
      <c r="J36" s="276" t="s">
        <v>340</v>
      </c>
      <c r="K36" s="276" t="s">
        <v>16</v>
      </c>
      <c r="L36" s="277"/>
      <c r="M36" s="277"/>
      <c r="N36" s="277"/>
      <c r="O36" s="277"/>
    </row>
    <row r="37" spans="1:15" ht="15" hidden="1">
      <c r="A37" s="277" t="s">
        <v>213</v>
      </c>
      <c r="B37" s="277" t="s">
        <v>213</v>
      </c>
      <c r="C37" s="277" t="s">
        <v>9</v>
      </c>
      <c r="D37" s="277" t="s">
        <v>9</v>
      </c>
      <c r="E37" s="277" t="s">
        <v>301</v>
      </c>
      <c r="F37" s="277" t="s">
        <v>10</v>
      </c>
      <c r="G37" s="277" t="s">
        <v>28</v>
      </c>
      <c r="H37" s="277" t="s">
        <v>7</v>
      </c>
      <c r="I37" s="277" t="s">
        <v>28</v>
      </c>
      <c r="J37" s="277" t="s">
        <v>20</v>
      </c>
      <c r="K37" s="277" t="s">
        <v>23</v>
      </c>
      <c r="L37" s="277"/>
      <c r="M37" s="277"/>
      <c r="N37" s="277"/>
      <c r="O37" s="277"/>
    </row>
    <row r="38" spans="1:15" ht="15" hidden="1">
      <c r="A38" s="277" t="s">
        <v>212</v>
      </c>
      <c r="B38" s="277" t="s">
        <v>212</v>
      </c>
      <c r="C38" s="277" t="s">
        <v>8</v>
      </c>
      <c r="D38" s="277" t="s">
        <v>8</v>
      </c>
      <c r="E38" s="277" t="s">
        <v>327</v>
      </c>
      <c r="F38" s="277" t="s">
        <v>328</v>
      </c>
      <c r="G38" s="277" t="s">
        <v>27</v>
      </c>
      <c r="H38" s="277" t="s">
        <v>8</v>
      </c>
      <c r="I38" s="277" t="s">
        <v>27</v>
      </c>
      <c r="J38" s="277" t="s">
        <v>21</v>
      </c>
      <c r="K38" s="277" t="s">
        <v>24</v>
      </c>
      <c r="L38" s="277"/>
      <c r="M38" s="277"/>
      <c r="N38" s="277"/>
      <c r="O38" s="277"/>
    </row>
    <row r="39" spans="1:15" ht="15" hidden="1">
      <c r="A39" s="277" t="s">
        <v>7</v>
      </c>
      <c r="B39" s="277" t="s">
        <v>7</v>
      </c>
      <c r="C39" s="277" t="s">
        <v>7</v>
      </c>
      <c r="D39" s="277" t="s">
        <v>7</v>
      </c>
      <c r="E39" s="277" t="s">
        <v>302</v>
      </c>
      <c r="F39" s="277" t="s">
        <v>96</v>
      </c>
      <c r="G39" s="277"/>
      <c r="H39" s="277" t="s">
        <v>9</v>
      </c>
      <c r="I39" s="277"/>
      <c r="J39" s="277" t="s">
        <v>22</v>
      </c>
      <c r="K39" s="277"/>
      <c r="L39" s="277"/>
      <c r="M39" s="277"/>
      <c r="N39" s="277"/>
      <c r="O39" s="277"/>
    </row>
    <row r="40" spans="1:15" ht="15" hidden="1">
      <c r="A40" s="277"/>
      <c r="B40" s="277"/>
      <c r="C40" s="277"/>
      <c r="D40" s="277"/>
      <c r="E40" s="277"/>
      <c r="F40" s="277" t="s">
        <v>95</v>
      </c>
      <c r="G40" s="277"/>
      <c r="H40" s="277"/>
      <c r="I40" s="277"/>
      <c r="J40" s="277"/>
      <c r="K40" s="277"/>
      <c r="L40" s="277"/>
      <c r="M40" s="277"/>
      <c r="N40" s="277"/>
      <c r="O40" s="277"/>
    </row>
    <row r="41" spans="1:15" ht="15" hidden="1">
      <c r="A41" s="277"/>
      <c r="B41" s="277"/>
      <c r="C41" s="277"/>
      <c r="D41" s="277"/>
      <c r="E41" s="277"/>
      <c r="F41" s="277"/>
      <c r="G41" s="277"/>
      <c r="H41" s="277"/>
      <c r="I41" s="277"/>
      <c r="J41" s="277"/>
      <c r="K41" s="277"/>
      <c r="L41" s="277"/>
      <c r="M41" s="277"/>
      <c r="N41" s="277"/>
      <c r="O41" s="277"/>
    </row>
    <row r="42" spans="1:15">
      <c r="D42" s="19"/>
    </row>
    <row r="43" spans="1:15">
      <c r="D43" s="19"/>
    </row>
    <row r="44" spans="1:15">
      <c r="D44" s="19"/>
    </row>
    <row r="45" spans="1:15">
      <c r="D45" s="19"/>
    </row>
    <row r="46" spans="1:15">
      <c r="A46" s="19"/>
      <c r="B46" s="19"/>
      <c r="D46" s="19"/>
    </row>
    <row r="47" spans="1:15">
      <c r="A47" s="19"/>
      <c r="B47" s="19"/>
      <c r="C47" s="19"/>
      <c r="D47" s="19"/>
    </row>
    <row r="48" spans="1:15">
      <c r="B48" s="19"/>
      <c r="C48" s="19"/>
      <c r="D48" s="19"/>
    </row>
    <row r="49" spans="2:6">
      <c r="B49" s="19"/>
      <c r="C49" s="19"/>
      <c r="D49" s="19"/>
    </row>
    <row r="50" spans="2:6">
      <c r="B50" s="19"/>
      <c r="C50" s="19"/>
      <c r="D50" s="19"/>
    </row>
    <row r="51" spans="2:6">
      <c r="B51" s="19"/>
      <c r="C51" s="19"/>
      <c r="D51" s="19"/>
      <c r="E51" s="84"/>
    </row>
    <row r="52" spans="2:6">
      <c r="B52" s="19"/>
      <c r="C52" s="19"/>
      <c r="D52" s="19"/>
      <c r="E52" s="84"/>
    </row>
    <row r="53" spans="2:6">
      <c r="B53" s="19"/>
      <c r="C53" s="19"/>
      <c r="D53" s="19"/>
      <c r="E53" s="84"/>
    </row>
    <row r="54" spans="2:6">
      <c r="B54" s="19"/>
      <c r="C54" s="19"/>
      <c r="D54" s="19"/>
      <c r="E54" s="84"/>
    </row>
    <row r="55" spans="2:6">
      <c r="B55" s="19"/>
      <c r="C55" s="19"/>
      <c r="D55" s="19"/>
      <c r="E55" s="84"/>
    </row>
    <row r="56" spans="2:6">
      <c r="B56" s="19"/>
      <c r="C56" s="19"/>
      <c r="D56" s="19"/>
      <c r="E56" s="84"/>
    </row>
    <row r="57" spans="2:6">
      <c r="B57" s="19"/>
      <c r="C57" s="19"/>
      <c r="D57" s="19"/>
      <c r="E57" s="84"/>
    </row>
    <row r="58" spans="2:6">
      <c r="B58" s="19"/>
      <c r="C58" s="19"/>
      <c r="D58" s="19"/>
      <c r="E58" s="84"/>
    </row>
    <row r="59" spans="2:6">
      <c r="B59" s="19"/>
      <c r="C59" s="19"/>
      <c r="D59" s="19"/>
      <c r="E59" s="84"/>
    </row>
    <row r="60" spans="2:6">
      <c r="B60" s="19"/>
      <c r="C60" s="19"/>
      <c r="D60" s="19"/>
      <c r="E60" s="84"/>
    </row>
    <row r="61" spans="2:6">
      <c r="B61" s="19"/>
      <c r="C61" s="19"/>
      <c r="D61" s="19"/>
      <c r="E61" s="84"/>
    </row>
    <row r="62" spans="2:6">
      <c r="B62" s="19"/>
      <c r="C62" s="19"/>
      <c r="D62" s="19"/>
      <c r="E62" s="84"/>
    </row>
    <row r="63" spans="2:6">
      <c r="B63" s="19"/>
      <c r="C63" s="19"/>
      <c r="D63" s="19"/>
      <c r="E63" s="84"/>
    </row>
    <row r="64" spans="2:6">
      <c r="B64" s="19"/>
      <c r="C64" s="19"/>
      <c r="D64" s="19"/>
      <c r="E64" s="19"/>
      <c r="F64" s="19"/>
    </row>
    <row r="65" spans="2:7">
      <c r="B65" s="19"/>
      <c r="C65" s="19"/>
      <c r="D65" s="19"/>
      <c r="E65" s="19"/>
      <c r="F65" s="19"/>
    </row>
    <row r="66" spans="2:7">
      <c r="B66" s="19"/>
      <c r="C66" s="19"/>
      <c r="D66" s="19"/>
      <c r="E66" s="19"/>
      <c r="F66" s="19"/>
    </row>
    <row r="67" spans="2:7">
      <c r="B67" s="19"/>
      <c r="C67" s="19"/>
      <c r="D67" s="19"/>
      <c r="E67" s="19"/>
      <c r="F67" s="19"/>
    </row>
    <row r="68" spans="2:7">
      <c r="B68" s="19"/>
      <c r="C68" s="19"/>
      <c r="D68" s="19"/>
      <c r="E68" s="19"/>
      <c r="F68" s="19"/>
    </row>
    <row r="69" spans="2:7">
      <c r="B69" s="19"/>
      <c r="C69" s="19"/>
      <c r="D69" s="19"/>
      <c r="E69" s="19"/>
      <c r="F69" s="19"/>
    </row>
    <row r="70" spans="2:7">
      <c r="B70" s="19"/>
      <c r="C70" s="19"/>
      <c r="D70" s="19"/>
      <c r="E70" s="19"/>
      <c r="F70" s="19"/>
    </row>
    <row r="71" spans="2:7">
      <c r="B71" s="19"/>
      <c r="C71" s="19"/>
      <c r="D71" s="19"/>
      <c r="E71" s="19"/>
      <c r="F71" s="19"/>
    </row>
    <row r="72" spans="2:7">
      <c r="B72" s="19"/>
      <c r="C72" s="19"/>
      <c r="D72" s="19"/>
      <c r="E72" s="19"/>
      <c r="F72" s="19"/>
      <c r="G72" s="278"/>
    </row>
    <row r="73" spans="2:7">
      <c r="B73" s="19"/>
      <c r="C73" s="19"/>
      <c r="D73" s="19"/>
      <c r="E73" s="19"/>
      <c r="F73" s="19"/>
      <c r="G73" s="278"/>
    </row>
    <row r="74" spans="2:7">
      <c r="B74" s="19"/>
      <c r="C74" s="19"/>
      <c r="D74" s="19"/>
      <c r="F74" s="278"/>
      <c r="G74" s="278"/>
    </row>
    <row r="75" spans="2:7">
      <c r="B75" s="19"/>
      <c r="C75" s="19"/>
      <c r="D75" s="19"/>
      <c r="F75" s="278"/>
      <c r="G75" s="278"/>
    </row>
    <row r="76" spans="2:7">
      <c r="B76" s="19"/>
      <c r="C76" s="19"/>
      <c r="D76" s="19"/>
      <c r="F76" s="278"/>
      <c r="G76" s="278"/>
    </row>
    <row r="77" spans="2:7">
      <c r="B77" s="19"/>
      <c r="C77" s="19"/>
      <c r="D77" s="19"/>
      <c r="F77" s="278"/>
      <c r="G77" s="278"/>
    </row>
    <row r="78" spans="2:7">
      <c r="B78" s="19"/>
      <c r="C78" s="19"/>
      <c r="D78" s="19"/>
      <c r="F78" s="278"/>
      <c r="G78" s="278"/>
    </row>
    <row r="79" spans="2:7">
      <c r="B79" s="19"/>
      <c r="C79" s="19"/>
      <c r="D79" s="19"/>
      <c r="F79" s="278"/>
    </row>
    <row r="80" spans="2:7">
      <c r="B80" s="19"/>
      <c r="C80" s="19"/>
      <c r="D80" s="19"/>
      <c r="F80" s="278"/>
    </row>
    <row r="81" spans="2:6">
      <c r="B81" s="19"/>
      <c r="C81" s="19"/>
      <c r="D81" s="19"/>
      <c r="F81" s="278"/>
    </row>
    <row r="82" spans="2:6">
      <c r="B82" s="19"/>
      <c r="C82" s="19"/>
      <c r="D82" s="19"/>
      <c r="F82" s="278"/>
    </row>
    <row r="83" spans="2:6">
      <c r="B83" s="19"/>
      <c r="C83" s="19"/>
      <c r="D83" s="19"/>
    </row>
    <row r="84" spans="2:6">
      <c r="B84" s="19"/>
      <c r="C84" s="19"/>
      <c r="D84" s="19"/>
    </row>
    <row r="85" spans="2:6">
      <c r="B85" s="19"/>
      <c r="C85" s="19"/>
      <c r="D85" s="19"/>
    </row>
  </sheetData>
  <sheetProtection algorithmName="SHA-512" hashValue="xu1XuuLXChL6RGlaupjWanh3k4TyvSUl8cDM8AumCdEe1ClexhLAOo9tWxN9TuJVXEHx1YcAwGkugi2r1mHm/A==" saltValue="sMlgiNCkV4O0/hqbLjYDSA==" spinCount="100000" sheet="1" objects="1" scenarios="1" selectLockedCells="1"/>
  <mergeCells count="26">
    <mergeCell ref="A1:E1"/>
    <mergeCell ref="A2:A7"/>
    <mergeCell ref="E27:E30"/>
    <mergeCell ref="E10:E12"/>
    <mergeCell ref="E13:E15"/>
    <mergeCell ref="B2:B4"/>
    <mergeCell ref="A27:A32"/>
    <mergeCell ref="E19:E20"/>
    <mergeCell ref="E2:E4"/>
    <mergeCell ref="B31:B32"/>
    <mergeCell ref="B5:B7"/>
    <mergeCell ref="B10:B12"/>
    <mergeCell ref="B21:B23"/>
    <mergeCell ref="E5:E7"/>
    <mergeCell ref="E31:E32"/>
    <mergeCell ref="E8:E9"/>
    <mergeCell ref="A8:A26"/>
    <mergeCell ref="E24:E26"/>
    <mergeCell ref="B8:B9"/>
    <mergeCell ref="E16:E18"/>
    <mergeCell ref="B13:B15"/>
    <mergeCell ref="B27:B30"/>
    <mergeCell ref="E21:E23"/>
    <mergeCell ref="B16:B18"/>
    <mergeCell ref="B24:B26"/>
    <mergeCell ref="B19:B20"/>
  </mergeCells>
  <dataValidations count="6">
    <dataValidation type="list" allowBlank="1" showInputMessage="1" showErrorMessage="1" sqref="E24:E26">
      <formula1>Classes_pH_Sol</formula1>
    </dataValidation>
    <dataValidation type="list" allowBlank="1" showInputMessage="1" showErrorMessage="1" sqref="E10:E12">
      <formula1>Classes_risque_Limaces_Parcelle</formula1>
    </dataValidation>
    <dataValidation type="list" allowBlank="1" showInputMessage="1" showErrorMessage="1" sqref="E19:E20">
      <formula1>Classes_presence_orobanche</formula1>
    </dataValidation>
    <dataValidation type="list" allowBlank="1" showInputMessage="1" showErrorMessage="1" sqref="E8:E9">
      <formula1>Classes_facteur_limitant_sol</formula1>
    </dataValidation>
    <dataValidation type="list" allowBlank="1" showInputMessage="1" showErrorMessage="1" sqref="E16:E18">
      <formula1>classes_type_flore</formula1>
    </dataValidation>
    <dataValidation type="list" allowBlank="1" showInputMessage="1" showErrorMessage="1" sqref="E31:E32">
      <formula1>classes_mode_destruction</formula1>
    </dataValidation>
  </dataValidations>
  <pageMargins left="0.7" right="0.7" top="0.75" bottom="0.75" header="0.3" footer="0.3"/>
  <pageSetup paperSize="9" scale="52"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enableFormatConditionsCalculation="0">
    <tabColor theme="4"/>
  </sheetPr>
  <dimension ref="A1:F22"/>
  <sheetViews>
    <sheetView workbookViewId="0">
      <selection activeCell="B66" sqref="A41:XFD66"/>
    </sheetView>
  </sheetViews>
  <sheetFormatPr baseColWidth="10" defaultColWidth="10.83203125" defaultRowHeight="14" x14ac:dyDescent="0"/>
  <cols>
    <col min="1" max="1" width="27.6640625" style="84" customWidth="1"/>
    <col min="2" max="2" width="63.6640625" style="84" customWidth="1"/>
    <col min="3" max="3" width="20.33203125" style="84" customWidth="1"/>
    <col min="4" max="4" width="22.6640625" style="84" customWidth="1"/>
    <col min="5" max="5" width="11.5" style="84" hidden="1" customWidth="1"/>
    <col min="6" max="16384" width="10.83203125" style="84"/>
  </cols>
  <sheetData>
    <row r="1" spans="1:6" ht="60" customHeight="1" thickBot="1">
      <c r="A1" s="537" t="s">
        <v>674</v>
      </c>
      <c r="B1" s="538"/>
      <c r="C1" s="539"/>
      <c r="D1" s="540" t="s">
        <v>675</v>
      </c>
      <c r="E1" s="1"/>
    </row>
    <row r="2" spans="1:6" ht="30.75" customHeight="1" thickBot="1">
      <c r="A2" s="537" t="s">
        <v>635</v>
      </c>
      <c r="B2" s="538"/>
      <c r="C2" s="539"/>
      <c r="D2" s="541"/>
      <c r="E2" s="1"/>
    </row>
    <row r="3" spans="1:6" ht="30.75" customHeight="1" thickBot="1">
      <c r="A3" s="55" t="s">
        <v>632</v>
      </c>
      <c r="B3" s="7" t="s">
        <v>232</v>
      </c>
      <c r="C3" s="154" t="s">
        <v>18</v>
      </c>
      <c r="D3" s="171">
        <v>1</v>
      </c>
      <c r="E3" s="122">
        <f>IF(C3="oui",1,0)</f>
        <v>1</v>
      </c>
    </row>
    <row r="4" spans="1:6" ht="30.75" customHeight="1" thickBot="1">
      <c r="A4" s="56" t="s">
        <v>233</v>
      </c>
      <c r="B4" s="44" t="s">
        <v>633</v>
      </c>
      <c r="C4" s="154" t="s">
        <v>18</v>
      </c>
      <c r="D4" s="172">
        <v>1</v>
      </c>
      <c r="E4" s="122">
        <f>IF(C4="oui",1,0)</f>
        <v>1</v>
      </c>
      <c r="F4" s="271"/>
    </row>
    <row r="5" spans="1:6" ht="30.75" customHeight="1" thickBot="1">
      <c r="A5" s="56" t="s">
        <v>234</v>
      </c>
      <c r="B5" s="7" t="s">
        <v>216</v>
      </c>
      <c r="C5" s="155" t="s">
        <v>18</v>
      </c>
      <c r="D5" s="171">
        <v>1</v>
      </c>
      <c r="E5" s="5">
        <f>IF(C5="oui",1,0)</f>
        <v>1</v>
      </c>
    </row>
    <row r="6" spans="1:6" ht="30.75" customHeight="1" thickBot="1">
      <c r="A6" s="537" t="s">
        <v>252</v>
      </c>
      <c r="B6" s="538"/>
      <c r="C6" s="539"/>
      <c r="D6" s="170"/>
      <c r="E6" s="5"/>
    </row>
    <row r="7" spans="1:6" ht="30.75" customHeight="1" thickBot="1">
      <c r="A7" s="56" t="s">
        <v>235</v>
      </c>
      <c r="B7" s="17" t="s">
        <v>236</v>
      </c>
      <c r="C7" s="156" t="s">
        <v>19</v>
      </c>
      <c r="D7" s="172">
        <v>1</v>
      </c>
      <c r="E7" s="122">
        <f t="shared" ref="E7:E13" si="0">IF(C7="oui",1,0)</f>
        <v>0</v>
      </c>
      <c r="F7" s="271"/>
    </row>
    <row r="8" spans="1:6" ht="30.75" customHeight="1" thickBot="1">
      <c r="A8" s="56" t="s">
        <v>237</v>
      </c>
      <c r="B8" s="7" t="s">
        <v>238</v>
      </c>
      <c r="C8" s="156" t="s">
        <v>19</v>
      </c>
      <c r="D8" s="173">
        <v>1</v>
      </c>
      <c r="E8" s="122">
        <f t="shared" si="0"/>
        <v>0</v>
      </c>
      <c r="F8" s="271"/>
    </row>
    <row r="9" spans="1:6" ht="30.75" customHeight="1" thickBot="1">
      <c r="A9" s="56" t="s">
        <v>239</v>
      </c>
      <c r="B9" s="7" t="s">
        <v>634</v>
      </c>
      <c r="C9" s="156" t="s">
        <v>19</v>
      </c>
      <c r="D9" s="174">
        <v>1</v>
      </c>
      <c r="E9" s="122">
        <f t="shared" si="0"/>
        <v>0</v>
      </c>
      <c r="F9" s="271"/>
    </row>
    <row r="10" spans="1:6" ht="30.75" customHeight="1" thickBot="1">
      <c r="A10" s="56" t="s">
        <v>240</v>
      </c>
      <c r="B10" s="17" t="s">
        <v>241</v>
      </c>
      <c r="C10" s="156" t="s">
        <v>19</v>
      </c>
      <c r="D10" s="172">
        <v>1</v>
      </c>
      <c r="E10" s="122">
        <f t="shared" si="0"/>
        <v>0</v>
      </c>
      <c r="F10" s="271"/>
    </row>
    <row r="11" spans="1:6" ht="30.75" customHeight="1" thickBot="1">
      <c r="A11" s="56" t="s">
        <v>242</v>
      </c>
      <c r="B11" s="7" t="s">
        <v>243</v>
      </c>
      <c r="C11" s="156" t="s">
        <v>19</v>
      </c>
      <c r="D11" s="172">
        <v>1</v>
      </c>
      <c r="E11" s="122">
        <f t="shared" si="0"/>
        <v>0</v>
      </c>
      <c r="F11" s="271"/>
    </row>
    <row r="12" spans="1:6" ht="30.75" customHeight="1" thickBot="1">
      <c r="A12" s="56" t="s">
        <v>244</v>
      </c>
      <c r="B12" s="17" t="s">
        <v>245</v>
      </c>
      <c r="C12" s="156" t="s">
        <v>19</v>
      </c>
      <c r="D12" s="171">
        <v>1</v>
      </c>
      <c r="E12" s="5">
        <f t="shared" si="0"/>
        <v>0</v>
      </c>
    </row>
    <row r="13" spans="1:6" ht="30.75" customHeight="1" thickBot="1">
      <c r="A13" s="57" t="s">
        <v>246</v>
      </c>
      <c r="B13" s="58" t="s">
        <v>247</v>
      </c>
      <c r="C13" s="157" t="s">
        <v>19</v>
      </c>
      <c r="D13" s="171">
        <v>1</v>
      </c>
      <c r="E13" s="122">
        <f t="shared" si="0"/>
        <v>0</v>
      </c>
    </row>
    <row r="21" spans="1:1" hidden="1">
      <c r="A21" s="84" t="s">
        <v>18</v>
      </c>
    </row>
    <row r="22" spans="1:1" hidden="1">
      <c r="A22" s="84" t="s">
        <v>19</v>
      </c>
    </row>
  </sheetData>
  <sheetProtection password="CDF2" sheet="1" objects="1" scenarios="1" selectLockedCells="1"/>
  <mergeCells count="4">
    <mergeCell ref="A2:C2"/>
    <mergeCell ref="A6:C6"/>
    <mergeCell ref="A1:C1"/>
    <mergeCell ref="D1:D2"/>
  </mergeCells>
  <dataValidations count="2">
    <dataValidation type="list" allowBlank="1" showInputMessage="1" showErrorMessage="1" sqref="C3:C5 C7:C13">
      <formula1>$A$21:$A$22</formula1>
    </dataValidation>
    <dataValidation type="whole" allowBlank="1" showInputMessage="1" showErrorMessage="1" sqref="D3:D13">
      <formula1>1</formula1>
      <formula2>3</formula2>
    </dataValidation>
  </dataValidation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enableFormatConditionsCalculation="0"/>
  <dimension ref="A1:V227"/>
  <sheetViews>
    <sheetView topLeftCell="K1" workbookViewId="0">
      <selection activeCell="AB7" sqref="AB7"/>
    </sheetView>
  </sheetViews>
  <sheetFormatPr baseColWidth="10" defaultColWidth="10.83203125" defaultRowHeight="15" x14ac:dyDescent="0"/>
  <cols>
    <col min="1" max="1" width="31.1640625" style="100" bestFit="1" customWidth="1"/>
    <col min="2" max="2" width="10.83203125" style="100"/>
    <col min="3" max="3" width="11.1640625" style="100" customWidth="1"/>
    <col min="4" max="16384" width="10.83203125" style="100"/>
  </cols>
  <sheetData>
    <row r="1" spans="1:22">
      <c r="A1" s="182" t="s">
        <v>681</v>
      </c>
      <c r="C1" s="102" t="s">
        <v>348</v>
      </c>
    </row>
    <row r="2" spans="1:22">
      <c r="A2" s="183" t="s">
        <v>680</v>
      </c>
      <c r="C2" s="101" t="s">
        <v>349</v>
      </c>
    </row>
    <row r="3" spans="1:22">
      <c r="A3" s="183" t="s">
        <v>682</v>
      </c>
      <c r="C3" s="104" t="s">
        <v>358</v>
      </c>
    </row>
    <row r="5" spans="1:22">
      <c r="A5" s="105" t="s">
        <v>357</v>
      </c>
    </row>
    <row r="6" spans="1:22">
      <c r="A6" s="100">
        <v>2</v>
      </c>
      <c r="B6" s="100">
        <v>3</v>
      </c>
      <c r="C6" s="100">
        <v>4</v>
      </c>
      <c r="D6" s="100">
        <v>5</v>
      </c>
      <c r="E6" s="100">
        <v>6</v>
      </c>
      <c r="F6" s="100">
        <v>7</v>
      </c>
      <c r="G6" s="100">
        <v>8</v>
      </c>
      <c r="H6" s="100">
        <v>9</v>
      </c>
      <c r="I6" s="100">
        <v>10</v>
      </c>
      <c r="J6" s="100">
        <v>11</v>
      </c>
      <c r="K6" s="100">
        <v>12</v>
      </c>
      <c r="L6" s="100">
        <v>13</v>
      </c>
      <c r="M6" s="100">
        <v>14</v>
      </c>
      <c r="N6" s="100">
        <v>15</v>
      </c>
      <c r="O6" s="100">
        <v>16</v>
      </c>
      <c r="P6" s="100">
        <v>17</v>
      </c>
      <c r="Q6" s="100">
        <v>18</v>
      </c>
      <c r="R6" s="100">
        <v>19</v>
      </c>
      <c r="S6" s="100">
        <v>20</v>
      </c>
      <c r="T6" s="100">
        <v>21</v>
      </c>
      <c r="U6" s="100">
        <v>22</v>
      </c>
      <c r="V6" s="100">
        <v>23</v>
      </c>
    </row>
    <row r="7" spans="1:22">
      <c r="A7" s="100" t="str">
        <f t="shared" ref="A7:V7" si="0">INDEX(Especes,1,A$6)</f>
        <v>Traits</v>
      </c>
      <c r="B7" s="100" t="str">
        <f t="shared" si="0"/>
        <v>Avoine noire</v>
      </c>
      <c r="C7" s="100" t="str">
        <f>INDEX(Especes,1,C$6)</f>
        <v>Avoine rude</v>
      </c>
      <c r="D7" s="100" t="str">
        <f t="shared" si="0"/>
        <v>Cameline</v>
      </c>
      <c r="E7" s="100" t="str">
        <f t="shared" si="0"/>
        <v>Fenugrec</v>
      </c>
      <c r="F7" s="100" t="str">
        <f t="shared" si="0"/>
        <v>Feverole de printemps précoce</v>
      </c>
      <c r="G7" s="100" t="str">
        <f t="shared" si="0"/>
        <v>Gesse</v>
      </c>
      <c r="H7" s="100" t="str">
        <f t="shared" si="0"/>
        <v>Lentille fourragere</v>
      </c>
      <c r="I7" s="100" t="str">
        <f t="shared" si="0"/>
        <v>Lin de printemps (graine)</v>
      </c>
      <c r="J7" s="100" t="str">
        <f t="shared" si="0"/>
        <v>Luzerne</v>
      </c>
      <c r="K7" s="100" t="str">
        <f t="shared" si="0"/>
        <v>Navette fourragere</v>
      </c>
      <c r="L7" s="100" t="str">
        <f t="shared" si="0"/>
        <v>Nyger</v>
      </c>
      <c r="M7" s="100" t="str">
        <f t="shared" si="0"/>
        <v>Phacelie</v>
      </c>
      <c r="N7" s="100" t="str">
        <f t="shared" si="0"/>
        <v>Pois fourrager de printemps</v>
      </c>
      <c r="O7" s="100" t="str">
        <f t="shared" si="0"/>
        <v>Pois protéagineux</v>
      </c>
      <c r="P7" s="100" t="str">
        <f t="shared" si="0"/>
        <v>Sarrasin</v>
      </c>
      <c r="Q7" s="100" t="str">
        <f t="shared" si="0"/>
        <v>Tournesol</v>
      </c>
      <c r="R7" s="100" t="str">
        <f t="shared" si="0"/>
        <v>Trefle Alexandrie monocoupe précoce</v>
      </c>
      <c r="S7" s="100" t="str">
        <f t="shared" si="0"/>
        <v>Trefle blanc nain</v>
      </c>
      <c r="T7" s="100" t="str">
        <f t="shared" si="0"/>
        <v>Vesce commune de printemps</v>
      </c>
      <c r="U7" s="100" t="str">
        <f t="shared" si="0"/>
        <v>Vesce pourpre précoce</v>
      </c>
      <c r="V7" s="100" t="str">
        <f t="shared" si="0"/>
        <v>Nouvelle espece</v>
      </c>
    </row>
    <row r="8" spans="1:22" s="103" customFormat="1">
      <c r="A8" s="124" t="s">
        <v>355</v>
      </c>
      <c r="B8" s="103" t="e">
        <f>VLOOKUP(CONCATENATE(B9,B10,B24,B34),RDD_Biomasse_PS,2,0)</f>
        <v>#N/A</v>
      </c>
      <c r="C8" s="103" t="e">
        <f t="shared" ref="C8:M8" si="1">VLOOKUP(CONCATENATE(C9,C10,C24,C34),RDD_Biomasse_PS,2,0)</f>
        <v>#N/A</v>
      </c>
      <c r="D8" s="103" t="e">
        <f t="shared" si="1"/>
        <v>#N/A</v>
      </c>
      <c r="E8" s="103" t="e">
        <f t="shared" si="1"/>
        <v>#N/A</v>
      </c>
      <c r="F8" s="103" t="e">
        <f t="shared" si="1"/>
        <v>#N/A</v>
      </c>
      <c r="G8" s="103" t="e">
        <f t="shared" si="1"/>
        <v>#N/A</v>
      </c>
      <c r="H8" s="103" t="e">
        <f t="shared" si="1"/>
        <v>#N/A</v>
      </c>
      <c r="I8" s="103" t="e">
        <f t="shared" si="1"/>
        <v>#N/A</v>
      </c>
      <c r="J8" s="103" t="e">
        <f t="shared" si="1"/>
        <v>#N/A</v>
      </c>
      <c r="K8" s="103" t="e">
        <f t="shared" si="1"/>
        <v>#N/A</v>
      </c>
      <c r="L8" s="103" t="e">
        <f t="shared" si="1"/>
        <v>#N/A</v>
      </c>
      <c r="M8" s="103" t="e">
        <f t="shared" si="1"/>
        <v>#N/A</v>
      </c>
      <c r="N8" s="103" t="e">
        <f t="shared" ref="N8:V8" si="2">VLOOKUP(CONCATENATE(N9,N10,N24,N34),RDD_Biomasse_PS,2,0)</f>
        <v>#N/A</v>
      </c>
      <c r="O8" s="103" t="e">
        <f t="shared" si="2"/>
        <v>#N/A</v>
      </c>
      <c r="P8" s="103" t="e">
        <f t="shared" si="2"/>
        <v>#N/A</v>
      </c>
      <c r="Q8" s="103" t="e">
        <f t="shared" si="2"/>
        <v>#N/A</v>
      </c>
      <c r="R8" s="103" t="e">
        <f t="shared" si="2"/>
        <v>#N/A</v>
      </c>
      <c r="S8" s="103" t="e">
        <f t="shared" si="2"/>
        <v>#N/A</v>
      </c>
      <c r="T8" s="103" t="e">
        <f t="shared" si="2"/>
        <v>#N/A</v>
      </c>
      <c r="U8" s="103" t="e">
        <f t="shared" si="2"/>
        <v>#N/A</v>
      </c>
      <c r="V8" s="103" t="e">
        <f t="shared" si="2"/>
        <v>#N/A</v>
      </c>
    </row>
    <row r="9" spans="1:22" s="102" customFormat="1">
      <c r="A9" s="102" t="s">
        <v>354</v>
      </c>
      <c r="B9" s="102">
        <f t="shared" ref="B9:V9" si="3">INDEX(Potentiel_production_biomasse_PS,1,B$6)</f>
        <v>2</v>
      </c>
      <c r="C9" s="102">
        <f t="shared" si="3"/>
        <v>3</v>
      </c>
      <c r="D9" s="102">
        <f t="shared" si="3"/>
        <v>2</v>
      </c>
      <c r="E9" s="102">
        <f t="shared" si="3"/>
        <v>1</v>
      </c>
      <c r="F9" s="102">
        <f t="shared" si="3"/>
        <v>3</v>
      </c>
      <c r="G9" s="102">
        <f t="shared" si="3"/>
        <v>2</v>
      </c>
      <c r="H9" s="102">
        <f t="shared" si="3"/>
        <v>2</v>
      </c>
      <c r="I9" s="102">
        <f t="shared" si="3"/>
        <v>1</v>
      </c>
      <c r="J9" s="102">
        <f t="shared" si="3"/>
        <v>3</v>
      </c>
      <c r="K9" s="102">
        <f t="shared" si="3"/>
        <v>2</v>
      </c>
      <c r="L9" s="102">
        <f t="shared" si="3"/>
        <v>2</v>
      </c>
      <c r="M9" s="102">
        <f t="shared" si="3"/>
        <v>3</v>
      </c>
      <c r="N9" s="102">
        <f t="shared" si="3"/>
        <v>3</v>
      </c>
      <c r="O9" s="102">
        <f t="shared" si="3"/>
        <v>2</v>
      </c>
      <c r="P9" s="102">
        <f t="shared" si="3"/>
        <v>2</v>
      </c>
      <c r="Q9" s="102">
        <f t="shared" si="3"/>
        <v>3</v>
      </c>
      <c r="R9" s="102">
        <f t="shared" si="3"/>
        <v>2</v>
      </c>
      <c r="S9" s="102">
        <f t="shared" si="3"/>
        <v>1</v>
      </c>
      <c r="T9" s="102">
        <f t="shared" si="3"/>
        <v>2</v>
      </c>
      <c r="U9" s="102">
        <f t="shared" si="3"/>
        <v>3</v>
      </c>
      <c r="V9" s="102" t="e">
        <f t="shared" si="3"/>
        <v>#N/A</v>
      </c>
    </row>
    <row r="10" spans="1:22" s="104" customFormat="1">
      <c r="A10" s="104" t="s">
        <v>353</v>
      </c>
      <c r="B10" s="104" t="e">
        <f t="shared" ref="B10:N10" si="4">VLOOKUP(CONCATENATE(B11,B12,B14),RDD_Competition_exercee_PS,2,0)</f>
        <v>#N/A</v>
      </c>
      <c r="C10" s="104" t="e">
        <f t="shared" si="4"/>
        <v>#N/A</v>
      </c>
      <c r="D10" s="104" t="e">
        <f t="shared" si="4"/>
        <v>#N/A</v>
      </c>
      <c r="E10" s="104" t="e">
        <f t="shared" si="4"/>
        <v>#N/A</v>
      </c>
      <c r="F10" s="104" t="e">
        <f t="shared" si="4"/>
        <v>#N/A</v>
      </c>
      <c r="G10" s="104" t="e">
        <f t="shared" si="4"/>
        <v>#N/A</v>
      </c>
      <c r="H10" s="104" t="e">
        <f t="shared" si="4"/>
        <v>#N/A</v>
      </c>
      <c r="I10" s="104" t="e">
        <f t="shared" si="4"/>
        <v>#N/A</v>
      </c>
      <c r="J10" s="104" t="e">
        <f t="shared" si="4"/>
        <v>#N/A</v>
      </c>
      <c r="K10" s="104" t="e">
        <f t="shared" si="4"/>
        <v>#N/A</v>
      </c>
      <c r="L10" s="104" t="e">
        <f t="shared" si="4"/>
        <v>#N/A</v>
      </c>
      <c r="M10" s="104" t="e">
        <f t="shared" si="4"/>
        <v>#N/A</v>
      </c>
      <c r="N10" s="104" t="e">
        <f t="shared" si="4"/>
        <v>#N/A</v>
      </c>
      <c r="O10" s="104" t="e">
        <f t="shared" ref="O10:V10" si="5">VLOOKUP(CONCATENATE(O11,O12,O14),RDD_Competition_exercee_PS,2,0)</f>
        <v>#N/A</v>
      </c>
      <c r="P10" s="104" t="e">
        <f t="shared" si="5"/>
        <v>#N/A</v>
      </c>
      <c r="Q10" s="104" t="e">
        <f t="shared" si="5"/>
        <v>#N/A</v>
      </c>
      <c r="R10" s="104" t="e">
        <f t="shared" si="5"/>
        <v>#N/A</v>
      </c>
      <c r="S10" s="104" t="e">
        <f t="shared" si="5"/>
        <v>#N/A</v>
      </c>
      <c r="T10" s="104" t="e">
        <f t="shared" si="5"/>
        <v>#N/A</v>
      </c>
      <c r="U10" s="104" t="e">
        <f t="shared" si="5"/>
        <v>#N/A</v>
      </c>
      <c r="V10" s="104" t="e">
        <f t="shared" si="5"/>
        <v>#N/A</v>
      </c>
    </row>
    <row r="11" spans="1:22" s="101" customFormat="1">
      <c r="A11" s="101" t="s">
        <v>322</v>
      </c>
      <c r="B11" s="101" t="e">
        <f t="shared" ref="B11:V11" si="6">MATCH(Infestation_adventices,Classes_Infestation_Adventices,0)</f>
        <v>#N/A</v>
      </c>
      <c r="C11" s="101" t="e">
        <f t="shared" si="6"/>
        <v>#N/A</v>
      </c>
      <c r="D11" s="101" t="e">
        <f t="shared" si="6"/>
        <v>#N/A</v>
      </c>
      <c r="E11" s="101" t="e">
        <f t="shared" si="6"/>
        <v>#N/A</v>
      </c>
      <c r="F11" s="101" t="e">
        <f t="shared" si="6"/>
        <v>#N/A</v>
      </c>
      <c r="G11" s="101" t="e">
        <f t="shared" si="6"/>
        <v>#N/A</v>
      </c>
      <c r="H11" s="101" t="e">
        <f t="shared" si="6"/>
        <v>#N/A</v>
      </c>
      <c r="I11" s="101" t="e">
        <f t="shared" si="6"/>
        <v>#N/A</v>
      </c>
      <c r="J11" s="101" t="e">
        <f t="shared" si="6"/>
        <v>#N/A</v>
      </c>
      <c r="K11" s="101" t="e">
        <f t="shared" si="6"/>
        <v>#N/A</v>
      </c>
      <c r="L11" s="101" t="e">
        <f t="shared" si="6"/>
        <v>#N/A</v>
      </c>
      <c r="M11" s="101" t="e">
        <f t="shared" si="6"/>
        <v>#N/A</v>
      </c>
      <c r="N11" s="101" t="e">
        <f t="shared" si="6"/>
        <v>#N/A</v>
      </c>
      <c r="O11" s="101" t="e">
        <f t="shared" si="6"/>
        <v>#N/A</v>
      </c>
      <c r="P11" s="101" t="e">
        <f t="shared" si="6"/>
        <v>#N/A</v>
      </c>
      <c r="Q11" s="101" t="e">
        <f t="shared" si="6"/>
        <v>#N/A</v>
      </c>
      <c r="R11" s="101" t="e">
        <f t="shared" si="6"/>
        <v>#N/A</v>
      </c>
      <c r="S11" s="101" t="e">
        <f t="shared" si="6"/>
        <v>#N/A</v>
      </c>
      <c r="T11" s="101" t="e">
        <f t="shared" si="6"/>
        <v>#N/A</v>
      </c>
      <c r="U11" s="101" t="e">
        <f t="shared" si="6"/>
        <v>#N/A</v>
      </c>
      <c r="V11" s="101" t="e">
        <f t="shared" si="6"/>
        <v>#N/A</v>
      </c>
    </row>
    <row r="12" spans="1:22" s="104" customFormat="1">
      <c r="A12" s="104" t="s">
        <v>308</v>
      </c>
      <c r="B12" s="104" t="e">
        <f t="shared" ref="B12:V12" si="7">B13</f>
        <v>#N/A</v>
      </c>
      <c r="C12" s="104" t="e">
        <f t="shared" si="7"/>
        <v>#N/A</v>
      </c>
      <c r="D12" s="104" t="e">
        <f t="shared" si="7"/>
        <v>#N/A</v>
      </c>
      <c r="E12" s="104" t="e">
        <f t="shared" si="7"/>
        <v>#N/A</v>
      </c>
      <c r="F12" s="104" t="e">
        <f t="shared" si="7"/>
        <v>#N/A</v>
      </c>
      <c r="G12" s="104" t="e">
        <f t="shared" si="7"/>
        <v>#N/A</v>
      </c>
      <c r="H12" s="104" t="e">
        <f t="shared" si="7"/>
        <v>#N/A</v>
      </c>
      <c r="I12" s="104" t="e">
        <f t="shared" si="7"/>
        <v>#N/A</v>
      </c>
      <c r="J12" s="104" t="e">
        <f t="shared" si="7"/>
        <v>#N/A</v>
      </c>
      <c r="K12" s="104" t="e">
        <f t="shared" si="7"/>
        <v>#N/A</v>
      </c>
      <c r="L12" s="104" t="e">
        <f t="shared" si="7"/>
        <v>#N/A</v>
      </c>
      <c r="M12" s="104" t="e">
        <f t="shared" si="7"/>
        <v>#N/A</v>
      </c>
      <c r="N12" s="104" t="e">
        <f t="shared" si="7"/>
        <v>#N/A</v>
      </c>
      <c r="O12" s="104" t="e">
        <f t="shared" si="7"/>
        <v>#N/A</v>
      </c>
      <c r="P12" s="104" t="e">
        <f t="shared" si="7"/>
        <v>#N/A</v>
      </c>
      <c r="Q12" s="104" t="e">
        <f t="shared" si="7"/>
        <v>#N/A</v>
      </c>
      <c r="R12" s="104" t="e">
        <f t="shared" si="7"/>
        <v>#N/A</v>
      </c>
      <c r="S12" s="104" t="e">
        <f t="shared" si="7"/>
        <v>#N/A</v>
      </c>
      <c r="T12" s="104" t="e">
        <f t="shared" si="7"/>
        <v>#N/A</v>
      </c>
      <c r="U12" s="104" t="e">
        <f t="shared" si="7"/>
        <v>#N/A</v>
      </c>
      <c r="V12" s="104" t="e">
        <f t="shared" si="7"/>
        <v>#N/A</v>
      </c>
    </row>
    <row r="13" spans="1:22" s="101" customFormat="1">
      <c r="A13" s="101" t="s">
        <v>323</v>
      </c>
      <c r="B13" s="101" t="e">
        <f t="shared" ref="B13:V13" si="8">MATCH(Disponibilite_N_semis,Classes_Disponibilite_N_Semis,0)</f>
        <v>#N/A</v>
      </c>
      <c r="C13" s="101" t="e">
        <f t="shared" si="8"/>
        <v>#N/A</v>
      </c>
      <c r="D13" s="101" t="e">
        <f t="shared" si="8"/>
        <v>#N/A</v>
      </c>
      <c r="E13" s="101" t="e">
        <f t="shared" si="8"/>
        <v>#N/A</v>
      </c>
      <c r="F13" s="101" t="e">
        <f t="shared" si="8"/>
        <v>#N/A</v>
      </c>
      <c r="G13" s="101" t="e">
        <f t="shared" si="8"/>
        <v>#N/A</v>
      </c>
      <c r="H13" s="101" t="e">
        <f t="shared" si="8"/>
        <v>#N/A</v>
      </c>
      <c r="I13" s="101" t="e">
        <f t="shared" si="8"/>
        <v>#N/A</v>
      </c>
      <c r="J13" s="101" t="e">
        <f t="shared" si="8"/>
        <v>#N/A</v>
      </c>
      <c r="K13" s="101" t="e">
        <f t="shared" si="8"/>
        <v>#N/A</v>
      </c>
      <c r="L13" s="101" t="e">
        <f t="shared" si="8"/>
        <v>#N/A</v>
      </c>
      <c r="M13" s="101" t="e">
        <f t="shared" si="8"/>
        <v>#N/A</v>
      </c>
      <c r="N13" s="101" t="e">
        <f t="shared" si="8"/>
        <v>#N/A</v>
      </c>
      <c r="O13" s="101" t="e">
        <f t="shared" si="8"/>
        <v>#N/A</v>
      </c>
      <c r="P13" s="101" t="e">
        <f t="shared" si="8"/>
        <v>#N/A</v>
      </c>
      <c r="Q13" s="101" t="e">
        <f t="shared" si="8"/>
        <v>#N/A</v>
      </c>
      <c r="R13" s="101" t="e">
        <f t="shared" si="8"/>
        <v>#N/A</v>
      </c>
      <c r="S13" s="101" t="e">
        <f t="shared" si="8"/>
        <v>#N/A</v>
      </c>
      <c r="T13" s="101" t="e">
        <f t="shared" si="8"/>
        <v>#N/A</v>
      </c>
      <c r="U13" s="101" t="e">
        <f t="shared" si="8"/>
        <v>#N/A</v>
      </c>
      <c r="V13" s="101" t="e">
        <f t="shared" si="8"/>
        <v>#N/A</v>
      </c>
    </row>
    <row r="14" spans="1:22" s="104" customFormat="1">
      <c r="A14" s="104" t="s">
        <v>309</v>
      </c>
      <c r="B14" s="104">
        <f t="shared" ref="B14:M14" si="9">VLOOKUP(CONCATENATE(B15,B16,B20),RDD_traits_PS_competition,2,0)</f>
        <v>2</v>
      </c>
      <c r="C14" s="104">
        <f t="shared" si="9"/>
        <v>3</v>
      </c>
      <c r="D14" s="104">
        <f t="shared" si="9"/>
        <v>3</v>
      </c>
      <c r="E14" s="104">
        <f t="shared" si="9"/>
        <v>1</v>
      </c>
      <c r="F14" s="104">
        <f t="shared" si="9"/>
        <v>2</v>
      </c>
      <c r="G14" s="104">
        <f t="shared" si="9"/>
        <v>2</v>
      </c>
      <c r="H14" s="104">
        <f t="shared" si="9"/>
        <v>1</v>
      </c>
      <c r="I14" s="104">
        <f t="shared" si="9"/>
        <v>3</v>
      </c>
      <c r="J14" s="104">
        <f t="shared" si="9"/>
        <v>2</v>
      </c>
      <c r="K14" s="104">
        <f t="shared" si="9"/>
        <v>3</v>
      </c>
      <c r="L14" s="104">
        <f t="shared" si="9"/>
        <v>4</v>
      </c>
      <c r="M14" s="104">
        <f t="shared" si="9"/>
        <v>4</v>
      </c>
      <c r="N14" s="104">
        <f t="shared" ref="N14:V14" si="10">VLOOKUP(CONCATENATE(N15,N16,N20),RDD_traits_PS_competition,2,0)</f>
        <v>2</v>
      </c>
      <c r="O14" s="104">
        <f t="shared" si="10"/>
        <v>3</v>
      </c>
      <c r="P14" s="104">
        <f t="shared" si="10"/>
        <v>4</v>
      </c>
      <c r="Q14" s="104">
        <f t="shared" si="10"/>
        <v>4</v>
      </c>
      <c r="R14" s="104">
        <f t="shared" si="10"/>
        <v>2</v>
      </c>
      <c r="S14" s="104">
        <f t="shared" si="10"/>
        <v>1</v>
      </c>
      <c r="T14" s="104">
        <f t="shared" si="10"/>
        <v>2</v>
      </c>
      <c r="U14" s="104">
        <f t="shared" si="10"/>
        <v>3</v>
      </c>
      <c r="V14" s="104" t="e">
        <f t="shared" si="10"/>
        <v>#N/A</v>
      </c>
    </row>
    <row r="15" spans="1:22" s="102" customFormat="1">
      <c r="A15" s="102" t="str">
        <f t="shared" ref="A15:V15" si="11">INDEX(Allelopathie_PS,1,A$6)</f>
        <v>Allelopathie PS</v>
      </c>
      <c r="B15" s="102">
        <f>INDEX(Allelopathie_PS,1,B$6)</f>
        <v>1</v>
      </c>
      <c r="C15" s="102">
        <f t="shared" si="11"/>
        <v>2</v>
      </c>
      <c r="D15" s="102">
        <f t="shared" si="11"/>
        <v>2</v>
      </c>
      <c r="E15" s="102">
        <f t="shared" si="11"/>
        <v>1</v>
      </c>
      <c r="F15" s="102">
        <f t="shared" si="11"/>
        <v>1</v>
      </c>
      <c r="G15" s="102">
        <f t="shared" si="11"/>
        <v>1</v>
      </c>
      <c r="H15" s="102">
        <f t="shared" si="11"/>
        <v>1</v>
      </c>
      <c r="I15" s="102">
        <f t="shared" si="11"/>
        <v>2</v>
      </c>
      <c r="J15" s="102">
        <f t="shared" si="11"/>
        <v>1</v>
      </c>
      <c r="K15" s="102">
        <f t="shared" si="11"/>
        <v>1</v>
      </c>
      <c r="L15" s="102">
        <f t="shared" si="11"/>
        <v>1</v>
      </c>
      <c r="M15" s="102">
        <f t="shared" si="11"/>
        <v>1</v>
      </c>
      <c r="N15" s="102">
        <f t="shared" si="11"/>
        <v>1</v>
      </c>
      <c r="O15" s="102">
        <f t="shared" si="11"/>
        <v>1</v>
      </c>
      <c r="P15" s="102">
        <f t="shared" si="11"/>
        <v>2</v>
      </c>
      <c r="Q15" s="102">
        <f t="shared" si="11"/>
        <v>2</v>
      </c>
      <c r="R15" s="102">
        <f t="shared" si="11"/>
        <v>1</v>
      </c>
      <c r="S15" s="102">
        <f t="shared" si="11"/>
        <v>2</v>
      </c>
      <c r="T15" s="102">
        <f t="shared" si="11"/>
        <v>1</v>
      </c>
      <c r="U15" s="102">
        <f t="shared" si="11"/>
        <v>1</v>
      </c>
      <c r="V15" s="102" t="e">
        <f t="shared" si="11"/>
        <v>#N/A</v>
      </c>
    </row>
    <row r="16" spans="1:22" s="104" customFormat="1">
      <c r="A16" s="104" t="s">
        <v>352</v>
      </c>
      <c r="B16" s="104">
        <f t="shared" ref="B16:M16" si="12">VLOOKUP(CONCATENATE(B17,B18,B19),RDD_competition_lumiere,2,0)</f>
        <v>4</v>
      </c>
      <c r="C16" s="104">
        <f t="shared" si="12"/>
        <v>4</v>
      </c>
      <c r="D16" s="104">
        <f t="shared" si="12"/>
        <v>3</v>
      </c>
      <c r="E16" s="104">
        <f t="shared" si="12"/>
        <v>2</v>
      </c>
      <c r="F16" s="104">
        <f t="shared" si="12"/>
        <v>4</v>
      </c>
      <c r="G16" s="104">
        <f t="shared" si="12"/>
        <v>3</v>
      </c>
      <c r="H16" s="104">
        <f t="shared" si="12"/>
        <v>2</v>
      </c>
      <c r="I16" s="104">
        <f t="shared" si="12"/>
        <v>2</v>
      </c>
      <c r="J16" s="104">
        <f t="shared" si="12"/>
        <v>3</v>
      </c>
      <c r="K16" s="104">
        <f t="shared" si="12"/>
        <v>4</v>
      </c>
      <c r="L16" s="104">
        <f t="shared" si="12"/>
        <v>4</v>
      </c>
      <c r="M16" s="104">
        <f t="shared" si="12"/>
        <v>4</v>
      </c>
      <c r="N16" s="104">
        <f t="shared" ref="N16:V16" si="13">VLOOKUP(CONCATENATE(N17,N18,N19),RDD_competition_lumiere,2,0)</f>
        <v>3</v>
      </c>
      <c r="O16" s="104">
        <f t="shared" si="13"/>
        <v>3</v>
      </c>
      <c r="P16" s="104">
        <f t="shared" si="13"/>
        <v>3</v>
      </c>
      <c r="Q16" s="104">
        <f t="shared" si="13"/>
        <v>4</v>
      </c>
      <c r="R16" s="104">
        <f t="shared" si="13"/>
        <v>3</v>
      </c>
      <c r="S16" s="104">
        <f t="shared" si="13"/>
        <v>1</v>
      </c>
      <c r="T16" s="104">
        <f t="shared" si="13"/>
        <v>3</v>
      </c>
      <c r="U16" s="104">
        <f t="shared" si="13"/>
        <v>3</v>
      </c>
      <c r="V16" s="104" t="e">
        <f t="shared" si="13"/>
        <v>#N/A</v>
      </c>
    </row>
    <row r="17" spans="1:22" s="102" customFormat="1">
      <c r="A17" s="102" t="s">
        <v>29</v>
      </c>
      <c r="B17" s="102">
        <f t="shared" ref="B17:V17" si="14">INDEX(Hauteur_PS,1,B$6)</f>
        <v>3</v>
      </c>
      <c r="C17" s="102">
        <f t="shared" si="14"/>
        <v>3</v>
      </c>
      <c r="D17" s="102">
        <f t="shared" si="14"/>
        <v>2</v>
      </c>
      <c r="E17" s="102">
        <f t="shared" si="14"/>
        <v>2</v>
      </c>
      <c r="F17" s="102">
        <f t="shared" si="14"/>
        <v>3</v>
      </c>
      <c r="G17" s="102">
        <f t="shared" si="14"/>
        <v>2</v>
      </c>
      <c r="H17" s="102">
        <f t="shared" si="14"/>
        <v>1</v>
      </c>
      <c r="I17" s="102">
        <f t="shared" si="14"/>
        <v>2</v>
      </c>
      <c r="J17" s="102">
        <f t="shared" si="14"/>
        <v>2</v>
      </c>
      <c r="K17" s="102">
        <f t="shared" si="14"/>
        <v>3</v>
      </c>
      <c r="L17" s="102">
        <f t="shared" si="14"/>
        <v>3</v>
      </c>
      <c r="M17" s="102">
        <f t="shared" si="14"/>
        <v>3</v>
      </c>
      <c r="N17" s="102">
        <f t="shared" si="14"/>
        <v>2</v>
      </c>
      <c r="O17" s="102">
        <f t="shared" si="14"/>
        <v>2</v>
      </c>
      <c r="P17" s="102">
        <f t="shared" si="14"/>
        <v>2</v>
      </c>
      <c r="Q17" s="102">
        <f t="shared" si="14"/>
        <v>3</v>
      </c>
      <c r="R17" s="102">
        <f t="shared" si="14"/>
        <v>2</v>
      </c>
      <c r="S17" s="102">
        <f t="shared" si="14"/>
        <v>1</v>
      </c>
      <c r="T17" s="102">
        <f t="shared" si="14"/>
        <v>2</v>
      </c>
      <c r="U17" s="102">
        <f t="shared" si="14"/>
        <v>2</v>
      </c>
      <c r="V17" s="102" t="e">
        <f t="shared" si="14"/>
        <v>#N/A</v>
      </c>
    </row>
    <row r="18" spans="1:22" s="102" customFormat="1">
      <c r="A18" s="102" t="s">
        <v>31</v>
      </c>
      <c r="B18" s="102">
        <f t="shared" ref="B18:V18" si="15">INDEX(Vitesse_croissance_PS,1,B$6)</f>
        <v>2</v>
      </c>
      <c r="C18" s="102">
        <f t="shared" si="15"/>
        <v>3</v>
      </c>
      <c r="D18" s="102">
        <f t="shared" si="15"/>
        <v>3</v>
      </c>
      <c r="E18" s="102">
        <f t="shared" si="15"/>
        <v>2</v>
      </c>
      <c r="F18" s="102">
        <f t="shared" si="15"/>
        <v>2</v>
      </c>
      <c r="G18" s="102">
        <f t="shared" si="15"/>
        <v>2</v>
      </c>
      <c r="H18" s="102">
        <f t="shared" si="15"/>
        <v>3</v>
      </c>
      <c r="I18" s="102">
        <f t="shared" si="15"/>
        <v>2</v>
      </c>
      <c r="J18" s="102">
        <f t="shared" si="15"/>
        <v>2</v>
      </c>
      <c r="K18" s="102">
        <f t="shared" si="15"/>
        <v>3</v>
      </c>
      <c r="L18" s="102">
        <f t="shared" si="15"/>
        <v>2</v>
      </c>
      <c r="M18" s="102">
        <f t="shared" si="15"/>
        <v>3</v>
      </c>
      <c r="N18" s="102">
        <f t="shared" si="15"/>
        <v>2</v>
      </c>
      <c r="O18" s="102">
        <f t="shared" si="15"/>
        <v>2</v>
      </c>
      <c r="P18" s="102">
        <f t="shared" si="15"/>
        <v>3</v>
      </c>
      <c r="Q18" s="102">
        <f t="shared" si="15"/>
        <v>2</v>
      </c>
      <c r="R18" s="102">
        <f t="shared" si="15"/>
        <v>2</v>
      </c>
      <c r="S18" s="102">
        <f t="shared" si="15"/>
        <v>1</v>
      </c>
      <c r="T18" s="102">
        <f t="shared" si="15"/>
        <v>2</v>
      </c>
      <c r="U18" s="102">
        <f t="shared" si="15"/>
        <v>3</v>
      </c>
      <c r="V18" s="102" t="e">
        <f t="shared" si="15"/>
        <v>#N/A</v>
      </c>
    </row>
    <row r="19" spans="1:22" s="102" customFormat="1">
      <c r="A19" s="102" t="s">
        <v>330</v>
      </c>
      <c r="B19" s="102">
        <f t="shared" ref="B19:V19" si="16">INDEX(Surface_feuille_PS,1,B$6)</f>
        <v>3</v>
      </c>
      <c r="C19" s="102">
        <f t="shared" si="16"/>
        <v>3</v>
      </c>
      <c r="D19" s="102">
        <f t="shared" si="16"/>
        <v>2</v>
      </c>
      <c r="E19" s="102">
        <f t="shared" si="16"/>
        <v>1</v>
      </c>
      <c r="F19" s="102">
        <f t="shared" si="16"/>
        <v>3</v>
      </c>
      <c r="G19" s="102">
        <f t="shared" si="16"/>
        <v>2</v>
      </c>
      <c r="H19" s="102">
        <f t="shared" si="16"/>
        <v>1</v>
      </c>
      <c r="I19" s="102">
        <f t="shared" si="16"/>
        <v>1</v>
      </c>
      <c r="J19" s="102">
        <f t="shared" si="16"/>
        <v>2</v>
      </c>
      <c r="K19" s="102">
        <f t="shared" si="16"/>
        <v>3</v>
      </c>
      <c r="L19" s="102">
        <f t="shared" si="16"/>
        <v>3</v>
      </c>
      <c r="M19" s="102">
        <f t="shared" si="16"/>
        <v>3</v>
      </c>
      <c r="N19" s="102">
        <f t="shared" si="16"/>
        <v>3</v>
      </c>
      <c r="O19" s="102">
        <f t="shared" si="16"/>
        <v>3</v>
      </c>
      <c r="P19" s="102">
        <f t="shared" si="16"/>
        <v>2</v>
      </c>
      <c r="Q19" s="102">
        <f t="shared" si="16"/>
        <v>3</v>
      </c>
      <c r="R19" s="102">
        <f t="shared" si="16"/>
        <v>2</v>
      </c>
      <c r="S19" s="102">
        <f t="shared" si="16"/>
        <v>1</v>
      </c>
      <c r="T19" s="102">
        <f t="shared" si="16"/>
        <v>2</v>
      </c>
      <c r="U19" s="102">
        <f t="shared" si="16"/>
        <v>2</v>
      </c>
      <c r="V19" s="102" t="e">
        <f t="shared" si="16"/>
        <v>#N/A</v>
      </c>
    </row>
    <row r="20" spans="1:22" s="104" customFormat="1">
      <c r="A20" s="104" t="s">
        <v>351</v>
      </c>
      <c r="B20" s="104">
        <f t="shared" ref="B20:M20" si="17">VLOOKUP(CONCATENATE(B21,B22,B23),RDD_competition_azote,2,0)</f>
        <v>2</v>
      </c>
      <c r="C20" s="104">
        <f t="shared" si="17"/>
        <v>2</v>
      </c>
      <c r="D20" s="104">
        <f t="shared" si="17"/>
        <v>2</v>
      </c>
      <c r="E20" s="104">
        <f t="shared" si="17"/>
        <v>1</v>
      </c>
      <c r="F20" s="104">
        <f t="shared" si="17"/>
        <v>2</v>
      </c>
      <c r="G20" s="104">
        <f t="shared" si="17"/>
        <v>2</v>
      </c>
      <c r="H20" s="104">
        <f t="shared" si="17"/>
        <v>2</v>
      </c>
      <c r="I20" s="104">
        <f t="shared" si="17"/>
        <v>3</v>
      </c>
      <c r="J20" s="104">
        <f t="shared" si="17"/>
        <v>2</v>
      </c>
      <c r="K20" s="104">
        <f t="shared" si="17"/>
        <v>3</v>
      </c>
      <c r="L20" s="104">
        <f t="shared" si="17"/>
        <v>4</v>
      </c>
      <c r="M20" s="104">
        <f t="shared" si="17"/>
        <v>4</v>
      </c>
      <c r="N20" s="104">
        <f t="shared" ref="N20:V20" si="18">VLOOKUP(CONCATENATE(N21,N22,N23),RDD_competition_azote,2,0)</f>
        <v>2</v>
      </c>
      <c r="O20" s="104">
        <f t="shared" si="18"/>
        <v>3</v>
      </c>
      <c r="P20" s="104">
        <f t="shared" si="18"/>
        <v>3</v>
      </c>
      <c r="Q20" s="104">
        <f t="shared" si="18"/>
        <v>4</v>
      </c>
      <c r="R20" s="104">
        <f t="shared" si="18"/>
        <v>2</v>
      </c>
      <c r="S20" s="104">
        <f t="shared" si="18"/>
        <v>1</v>
      </c>
      <c r="T20" s="104">
        <f t="shared" si="18"/>
        <v>1</v>
      </c>
      <c r="U20" s="104">
        <f t="shared" si="18"/>
        <v>3</v>
      </c>
      <c r="V20" s="104" t="e">
        <f t="shared" si="18"/>
        <v>#N/A</v>
      </c>
    </row>
    <row r="21" spans="1:22" s="102" customFormat="1">
      <c r="A21" s="102" t="s">
        <v>30</v>
      </c>
      <c r="B21" s="102">
        <f t="shared" ref="B21:V21" si="19">INDEX(Nitrophilie_PS,1,B$6)</f>
        <v>1</v>
      </c>
      <c r="C21" s="102">
        <f t="shared" si="19"/>
        <v>1</v>
      </c>
      <c r="D21" s="102">
        <f t="shared" si="19"/>
        <v>1</v>
      </c>
      <c r="E21" s="102">
        <f t="shared" si="19"/>
        <v>1</v>
      </c>
      <c r="F21" s="102">
        <f t="shared" si="19"/>
        <v>2</v>
      </c>
      <c r="G21" s="102">
        <f t="shared" si="19"/>
        <v>2</v>
      </c>
      <c r="H21" s="102">
        <f t="shared" si="19"/>
        <v>1</v>
      </c>
      <c r="I21" s="102">
        <f t="shared" si="19"/>
        <v>2</v>
      </c>
      <c r="J21" s="102">
        <f t="shared" si="19"/>
        <v>2</v>
      </c>
      <c r="K21" s="102">
        <f t="shared" si="19"/>
        <v>2</v>
      </c>
      <c r="L21" s="102">
        <f t="shared" si="19"/>
        <v>3</v>
      </c>
      <c r="M21" s="102">
        <f t="shared" si="19"/>
        <v>3</v>
      </c>
      <c r="N21" s="102">
        <f t="shared" si="19"/>
        <v>2</v>
      </c>
      <c r="O21" s="102">
        <f t="shared" si="19"/>
        <v>3</v>
      </c>
      <c r="P21" s="102">
        <f t="shared" si="19"/>
        <v>2</v>
      </c>
      <c r="Q21" s="102">
        <f t="shared" si="19"/>
        <v>3</v>
      </c>
      <c r="R21" s="102">
        <f t="shared" si="19"/>
        <v>2</v>
      </c>
      <c r="S21" s="102">
        <f t="shared" si="19"/>
        <v>1</v>
      </c>
      <c r="T21" s="102">
        <f t="shared" si="19"/>
        <v>1</v>
      </c>
      <c r="U21" s="102">
        <f t="shared" si="19"/>
        <v>2</v>
      </c>
      <c r="V21" s="102" t="e">
        <f t="shared" si="19"/>
        <v>#N/A</v>
      </c>
    </row>
    <row r="22" spans="1:22" s="102" customFormat="1">
      <c r="A22" s="102" t="s">
        <v>26</v>
      </c>
      <c r="B22" s="102">
        <f t="shared" ref="B22:V22" si="20">INDEX(PS_fixatrice_N,1,B$6)</f>
        <v>2</v>
      </c>
      <c r="C22" s="102">
        <f t="shared" si="20"/>
        <v>2</v>
      </c>
      <c r="D22" s="102">
        <f t="shared" si="20"/>
        <v>2</v>
      </c>
      <c r="E22" s="102">
        <f t="shared" si="20"/>
        <v>1</v>
      </c>
      <c r="F22" s="102">
        <f t="shared" si="20"/>
        <v>1</v>
      </c>
      <c r="G22" s="102">
        <f t="shared" si="20"/>
        <v>1</v>
      </c>
      <c r="H22" s="102">
        <f t="shared" si="20"/>
        <v>1</v>
      </c>
      <c r="I22" s="102">
        <f t="shared" si="20"/>
        <v>2</v>
      </c>
      <c r="J22" s="102">
        <f t="shared" si="20"/>
        <v>1</v>
      </c>
      <c r="K22" s="102">
        <f t="shared" si="20"/>
        <v>2</v>
      </c>
      <c r="L22" s="102">
        <f t="shared" si="20"/>
        <v>2</v>
      </c>
      <c r="M22" s="102">
        <f t="shared" si="20"/>
        <v>2</v>
      </c>
      <c r="N22" s="102">
        <f t="shared" si="20"/>
        <v>1</v>
      </c>
      <c r="O22" s="102">
        <f t="shared" si="20"/>
        <v>1</v>
      </c>
      <c r="P22" s="102">
        <f t="shared" si="20"/>
        <v>2</v>
      </c>
      <c r="Q22" s="102">
        <f t="shared" si="20"/>
        <v>2</v>
      </c>
      <c r="R22" s="102">
        <f t="shared" si="20"/>
        <v>1</v>
      </c>
      <c r="S22" s="102">
        <f t="shared" si="20"/>
        <v>1</v>
      </c>
      <c r="T22" s="102">
        <f t="shared" si="20"/>
        <v>1</v>
      </c>
      <c r="U22" s="102">
        <f t="shared" si="20"/>
        <v>1</v>
      </c>
      <c r="V22" s="102" t="e">
        <f t="shared" si="20"/>
        <v>#N/A</v>
      </c>
    </row>
    <row r="23" spans="1:22" s="102" customFormat="1">
      <c r="A23" s="102" t="s">
        <v>31</v>
      </c>
      <c r="B23" s="102">
        <f t="shared" ref="B23:V23" si="21">INDEX(Vitesse_croissance_PS,1,B$6)</f>
        <v>2</v>
      </c>
      <c r="C23" s="102">
        <f t="shared" si="21"/>
        <v>3</v>
      </c>
      <c r="D23" s="102">
        <f t="shared" si="21"/>
        <v>3</v>
      </c>
      <c r="E23" s="102">
        <f t="shared" si="21"/>
        <v>2</v>
      </c>
      <c r="F23" s="102">
        <f t="shared" si="21"/>
        <v>2</v>
      </c>
      <c r="G23" s="102">
        <f t="shared" si="21"/>
        <v>2</v>
      </c>
      <c r="H23" s="102">
        <f t="shared" si="21"/>
        <v>3</v>
      </c>
      <c r="I23" s="102">
        <f t="shared" si="21"/>
        <v>2</v>
      </c>
      <c r="J23" s="102">
        <f t="shared" si="21"/>
        <v>2</v>
      </c>
      <c r="K23" s="102">
        <f t="shared" si="21"/>
        <v>3</v>
      </c>
      <c r="L23" s="102">
        <f t="shared" si="21"/>
        <v>2</v>
      </c>
      <c r="M23" s="102">
        <f t="shared" si="21"/>
        <v>3</v>
      </c>
      <c r="N23" s="102">
        <f t="shared" si="21"/>
        <v>2</v>
      </c>
      <c r="O23" s="102">
        <f t="shared" si="21"/>
        <v>2</v>
      </c>
      <c r="P23" s="102">
        <f t="shared" si="21"/>
        <v>3</v>
      </c>
      <c r="Q23" s="102">
        <f t="shared" si="21"/>
        <v>2</v>
      </c>
      <c r="R23" s="102">
        <f t="shared" si="21"/>
        <v>2</v>
      </c>
      <c r="S23" s="102">
        <f t="shared" si="21"/>
        <v>1</v>
      </c>
      <c r="T23" s="102">
        <f t="shared" si="21"/>
        <v>2</v>
      </c>
      <c r="U23" s="102">
        <f t="shared" si="21"/>
        <v>3</v>
      </c>
      <c r="V23" s="102" t="e">
        <f t="shared" si="21"/>
        <v>#N/A</v>
      </c>
    </row>
    <row r="24" spans="1:22" s="104" customFormat="1">
      <c r="A24" s="104" t="s">
        <v>312</v>
      </c>
      <c r="B24" s="104" t="e">
        <f t="shared" ref="B24:K24" si="22">VLOOKUP(CONCATENATE(B25,B28,B31),RDD_conditions_implantation,2,0)</f>
        <v>#N/A</v>
      </c>
      <c r="C24" s="104" t="e">
        <f t="shared" si="22"/>
        <v>#N/A</v>
      </c>
      <c r="D24" s="104" t="e">
        <f t="shared" si="22"/>
        <v>#N/A</v>
      </c>
      <c r="E24" s="104" t="e">
        <f t="shared" si="22"/>
        <v>#N/A</v>
      </c>
      <c r="F24" s="104" t="e">
        <f t="shared" si="22"/>
        <v>#N/A</v>
      </c>
      <c r="G24" s="104" t="e">
        <f t="shared" si="22"/>
        <v>#N/A</v>
      </c>
      <c r="H24" s="104" t="e">
        <f t="shared" si="22"/>
        <v>#N/A</v>
      </c>
      <c r="I24" s="104" t="e">
        <f t="shared" si="22"/>
        <v>#N/A</v>
      </c>
      <c r="J24" s="104" t="e">
        <f t="shared" si="22"/>
        <v>#N/A</v>
      </c>
      <c r="K24" s="104" t="e">
        <f t="shared" si="22"/>
        <v>#N/A</v>
      </c>
      <c r="L24" s="104" t="e">
        <f t="shared" ref="L24:V24" si="23">VLOOKUP(CONCATENATE(L25,L28,L31),RDD_conditions_implantation,2,0)</f>
        <v>#N/A</v>
      </c>
      <c r="M24" s="104" t="e">
        <f t="shared" si="23"/>
        <v>#N/A</v>
      </c>
      <c r="N24" s="104" t="e">
        <f t="shared" si="23"/>
        <v>#N/A</v>
      </c>
      <c r="O24" s="104" t="e">
        <f t="shared" si="23"/>
        <v>#N/A</v>
      </c>
      <c r="P24" s="104" t="e">
        <f t="shared" si="23"/>
        <v>#N/A</v>
      </c>
      <c r="Q24" s="104" t="e">
        <f t="shared" si="23"/>
        <v>#N/A</v>
      </c>
      <c r="R24" s="104" t="e">
        <f t="shared" si="23"/>
        <v>#N/A</v>
      </c>
      <c r="S24" s="104" t="e">
        <f t="shared" si="23"/>
        <v>#N/A</v>
      </c>
      <c r="T24" s="104" t="e">
        <f t="shared" si="23"/>
        <v>#N/A</v>
      </c>
      <c r="U24" s="104" t="e">
        <f t="shared" si="23"/>
        <v>#N/A</v>
      </c>
      <c r="V24" s="104" t="e">
        <f t="shared" si="23"/>
        <v>#N/A</v>
      </c>
    </row>
    <row r="25" spans="1:22" s="104" customFormat="1">
      <c r="A25" s="104" t="s">
        <v>350</v>
      </c>
      <c r="B25" s="104" t="e">
        <f t="shared" ref="B25:M25" si="24">VLOOKUP(CONCATENATE(B26,B27),RDD_risque_secheresse,2,0)</f>
        <v>#N/A</v>
      </c>
      <c r="C25" s="104" t="e">
        <f t="shared" si="24"/>
        <v>#N/A</v>
      </c>
      <c r="D25" s="104" t="e">
        <f t="shared" si="24"/>
        <v>#N/A</v>
      </c>
      <c r="E25" s="104" t="e">
        <f t="shared" si="24"/>
        <v>#N/A</v>
      </c>
      <c r="F25" s="104" t="e">
        <f t="shared" si="24"/>
        <v>#N/A</v>
      </c>
      <c r="G25" s="104" t="e">
        <f t="shared" si="24"/>
        <v>#N/A</v>
      </c>
      <c r="H25" s="104" t="e">
        <f t="shared" si="24"/>
        <v>#N/A</v>
      </c>
      <c r="I25" s="104" t="e">
        <f t="shared" si="24"/>
        <v>#N/A</v>
      </c>
      <c r="J25" s="104" t="e">
        <f t="shared" si="24"/>
        <v>#N/A</v>
      </c>
      <c r="K25" s="104" t="e">
        <f t="shared" si="24"/>
        <v>#N/A</v>
      </c>
      <c r="L25" s="104" t="e">
        <f t="shared" si="24"/>
        <v>#N/A</v>
      </c>
      <c r="M25" s="104" t="e">
        <f t="shared" si="24"/>
        <v>#N/A</v>
      </c>
      <c r="N25" s="104" t="e">
        <f t="shared" ref="N25:V25" si="25">VLOOKUP(CONCATENATE(N26,N27),RDD_risque_secheresse,2,0)</f>
        <v>#N/A</v>
      </c>
      <c r="O25" s="104" t="e">
        <f t="shared" si="25"/>
        <v>#N/A</v>
      </c>
      <c r="P25" s="104" t="e">
        <f t="shared" si="25"/>
        <v>#N/A</v>
      </c>
      <c r="Q25" s="104" t="e">
        <f t="shared" si="25"/>
        <v>#N/A</v>
      </c>
      <c r="R25" s="104" t="e">
        <f t="shared" si="25"/>
        <v>#N/A</v>
      </c>
      <c r="S25" s="104" t="e">
        <f t="shared" si="25"/>
        <v>#N/A</v>
      </c>
      <c r="T25" s="104" t="e">
        <f t="shared" si="25"/>
        <v>#N/A</v>
      </c>
      <c r="U25" s="104" t="e">
        <f t="shared" si="25"/>
        <v>#N/A</v>
      </c>
      <c r="V25" s="104" t="e">
        <f t="shared" si="25"/>
        <v>#N/A</v>
      </c>
    </row>
    <row r="26" spans="1:22" s="101" customFormat="1">
      <c r="A26" s="101" t="s">
        <v>324</v>
      </c>
      <c r="B26" s="101" t="e">
        <f t="shared" ref="B26:V26" si="26">MATCH(Deficit_hydrique,Classes_Deficit_hydrique,0)</f>
        <v>#N/A</v>
      </c>
      <c r="C26" s="101" t="e">
        <f t="shared" si="26"/>
        <v>#N/A</v>
      </c>
      <c r="D26" s="101" t="e">
        <f t="shared" si="26"/>
        <v>#N/A</v>
      </c>
      <c r="E26" s="101" t="e">
        <f t="shared" si="26"/>
        <v>#N/A</v>
      </c>
      <c r="F26" s="101" t="e">
        <f t="shared" si="26"/>
        <v>#N/A</v>
      </c>
      <c r="G26" s="101" t="e">
        <f t="shared" si="26"/>
        <v>#N/A</v>
      </c>
      <c r="H26" s="101" t="e">
        <f t="shared" si="26"/>
        <v>#N/A</v>
      </c>
      <c r="I26" s="101" t="e">
        <f t="shared" si="26"/>
        <v>#N/A</v>
      </c>
      <c r="J26" s="101" t="e">
        <f t="shared" si="26"/>
        <v>#N/A</v>
      </c>
      <c r="K26" s="101" t="e">
        <f t="shared" si="26"/>
        <v>#N/A</v>
      </c>
      <c r="L26" s="101" t="e">
        <f t="shared" si="26"/>
        <v>#N/A</v>
      </c>
      <c r="M26" s="101" t="e">
        <f t="shared" si="26"/>
        <v>#N/A</v>
      </c>
      <c r="N26" s="101" t="e">
        <f t="shared" si="26"/>
        <v>#N/A</v>
      </c>
      <c r="O26" s="101" t="e">
        <f t="shared" si="26"/>
        <v>#N/A</v>
      </c>
      <c r="P26" s="101" t="e">
        <f t="shared" si="26"/>
        <v>#N/A</v>
      </c>
      <c r="Q26" s="101" t="e">
        <f t="shared" si="26"/>
        <v>#N/A</v>
      </c>
      <c r="R26" s="101" t="e">
        <f t="shared" si="26"/>
        <v>#N/A</v>
      </c>
      <c r="S26" s="101" t="e">
        <f t="shared" si="26"/>
        <v>#N/A</v>
      </c>
      <c r="T26" s="101" t="e">
        <f t="shared" si="26"/>
        <v>#N/A</v>
      </c>
      <c r="U26" s="101" t="e">
        <f t="shared" si="26"/>
        <v>#N/A</v>
      </c>
      <c r="V26" s="101" t="e">
        <f t="shared" si="26"/>
        <v>#N/A</v>
      </c>
    </row>
    <row r="27" spans="1:22" s="102" customFormat="1">
      <c r="A27" s="102" t="s">
        <v>332</v>
      </c>
      <c r="B27" s="102">
        <f t="shared" ref="B27:V27" si="27">INDEX(resistance_secheresse_PS,1,B$6)</f>
        <v>3</v>
      </c>
      <c r="C27" s="102">
        <f t="shared" si="27"/>
        <v>3</v>
      </c>
      <c r="D27" s="102">
        <f t="shared" si="27"/>
        <v>1</v>
      </c>
      <c r="E27" s="102">
        <f t="shared" si="27"/>
        <v>3</v>
      </c>
      <c r="F27" s="102">
        <f t="shared" si="27"/>
        <v>1</v>
      </c>
      <c r="G27" s="102">
        <f t="shared" si="27"/>
        <v>3</v>
      </c>
      <c r="H27" s="102">
        <f t="shared" si="27"/>
        <v>3</v>
      </c>
      <c r="I27" s="102">
        <f t="shared" si="27"/>
        <v>2</v>
      </c>
      <c r="J27" s="102">
        <f t="shared" si="27"/>
        <v>3</v>
      </c>
      <c r="K27" s="102">
        <f t="shared" si="27"/>
        <v>1</v>
      </c>
      <c r="L27" s="102">
        <f t="shared" si="27"/>
        <v>1</v>
      </c>
      <c r="M27" s="102">
        <f t="shared" si="27"/>
        <v>3</v>
      </c>
      <c r="N27" s="102">
        <f t="shared" si="27"/>
        <v>1</v>
      </c>
      <c r="O27" s="102">
        <f t="shared" si="27"/>
        <v>1</v>
      </c>
      <c r="P27" s="102">
        <f t="shared" si="27"/>
        <v>2</v>
      </c>
      <c r="Q27" s="102">
        <f t="shared" si="27"/>
        <v>3</v>
      </c>
      <c r="R27" s="102">
        <f t="shared" si="27"/>
        <v>1</v>
      </c>
      <c r="S27" s="102">
        <f t="shared" si="27"/>
        <v>2</v>
      </c>
      <c r="T27" s="102">
        <f t="shared" si="27"/>
        <v>3</v>
      </c>
      <c r="U27" s="102">
        <f t="shared" si="27"/>
        <v>3</v>
      </c>
      <c r="V27" s="102" t="e">
        <f t="shared" si="27"/>
        <v>#N/A</v>
      </c>
    </row>
    <row r="28" spans="1:22" s="104" customFormat="1">
      <c r="A28" s="104" t="s">
        <v>314</v>
      </c>
      <c r="B28" s="104" t="e">
        <f t="shared" ref="B28:K28" si="28">VLOOKUP(CONCATENATE(B29,B30),RDD_degats_limaces,2,0)</f>
        <v>#N/A</v>
      </c>
      <c r="C28" s="104" t="e">
        <f t="shared" si="28"/>
        <v>#N/A</v>
      </c>
      <c r="D28" s="104" t="e">
        <f t="shared" si="28"/>
        <v>#N/A</v>
      </c>
      <c r="E28" s="104" t="e">
        <f t="shared" si="28"/>
        <v>#N/A</v>
      </c>
      <c r="F28" s="104" t="e">
        <f t="shared" si="28"/>
        <v>#N/A</v>
      </c>
      <c r="G28" s="104" t="e">
        <f t="shared" si="28"/>
        <v>#N/A</v>
      </c>
      <c r="H28" s="104" t="e">
        <f t="shared" si="28"/>
        <v>#N/A</v>
      </c>
      <c r="I28" s="104" t="e">
        <f t="shared" si="28"/>
        <v>#N/A</v>
      </c>
      <c r="J28" s="104" t="e">
        <f t="shared" si="28"/>
        <v>#N/A</v>
      </c>
      <c r="K28" s="104" t="e">
        <f t="shared" si="28"/>
        <v>#N/A</v>
      </c>
      <c r="L28" s="104" t="e">
        <f t="shared" ref="L28:V28" si="29">VLOOKUP(CONCATENATE(L29,L30),RDD_degats_limaces,2,0)</f>
        <v>#N/A</v>
      </c>
      <c r="M28" s="104" t="e">
        <f t="shared" si="29"/>
        <v>#N/A</v>
      </c>
      <c r="N28" s="104" t="e">
        <f t="shared" si="29"/>
        <v>#N/A</v>
      </c>
      <c r="O28" s="104" t="e">
        <f t="shared" si="29"/>
        <v>#N/A</v>
      </c>
      <c r="P28" s="104" t="e">
        <f t="shared" si="29"/>
        <v>#N/A</v>
      </c>
      <c r="Q28" s="104" t="e">
        <f t="shared" si="29"/>
        <v>#N/A</v>
      </c>
      <c r="R28" s="104" t="e">
        <f t="shared" si="29"/>
        <v>#N/A</v>
      </c>
      <c r="S28" s="104" t="e">
        <f t="shared" si="29"/>
        <v>#N/A</v>
      </c>
      <c r="T28" s="104" t="e">
        <f t="shared" si="29"/>
        <v>#N/A</v>
      </c>
      <c r="U28" s="104" t="e">
        <f t="shared" si="29"/>
        <v>#N/A</v>
      </c>
      <c r="V28" s="104" t="e">
        <f t="shared" si="29"/>
        <v>#N/A</v>
      </c>
    </row>
    <row r="29" spans="1:22" s="102" customFormat="1">
      <c r="A29" s="102" t="s">
        <v>345</v>
      </c>
      <c r="B29" s="102">
        <f t="shared" ref="B29:V29" si="30">INDEX(Appetence_limaces_PS,1,B$6)</f>
        <v>3</v>
      </c>
      <c r="C29" s="102">
        <f t="shared" si="30"/>
        <v>3</v>
      </c>
      <c r="D29" s="102">
        <f t="shared" si="30"/>
        <v>2</v>
      </c>
      <c r="E29" s="102">
        <f t="shared" si="30"/>
        <v>2</v>
      </c>
      <c r="F29" s="102">
        <f t="shared" si="30"/>
        <v>2</v>
      </c>
      <c r="G29" s="102">
        <f t="shared" si="30"/>
        <v>2</v>
      </c>
      <c r="H29" s="102">
        <f t="shared" si="30"/>
        <v>2</v>
      </c>
      <c r="I29" s="102">
        <f t="shared" si="30"/>
        <v>3</v>
      </c>
      <c r="J29" s="102">
        <f t="shared" si="30"/>
        <v>2</v>
      </c>
      <c r="K29" s="102">
        <f t="shared" si="30"/>
        <v>3</v>
      </c>
      <c r="L29" s="102">
        <f t="shared" si="30"/>
        <v>1</v>
      </c>
      <c r="M29" s="102">
        <f t="shared" si="30"/>
        <v>2</v>
      </c>
      <c r="N29" s="102">
        <f t="shared" si="30"/>
        <v>2</v>
      </c>
      <c r="O29" s="102">
        <f t="shared" si="30"/>
        <v>2</v>
      </c>
      <c r="P29" s="102">
        <f t="shared" si="30"/>
        <v>3</v>
      </c>
      <c r="Q29" s="102">
        <f t="shared" si="30"/>
        <v>1</v>
      </c>
      <c r="R29" s="102">
        <f t="shared" si="30"/>
        <v>1</v>
      </c>
      <c r="S29" s="102">
        <f t="shared" si="30"/>
        <v>3</v>
      </c>
      <c r="T29" s="102">
        <f t="shared" si="30"/>
        <v>2</v>
      </c>
      <c r="U29" s="102">
        <f t="shared" si="30"/>
        <v>2</v>
      </c>
      <c r="V29" s="102" t="e">
        <f t="shared" si="30"/>
        <v>#N/A</v>
      </c>
    </row>
    <row r="30" spans="1:22" s="101" customFormat="1">
      <c r="A30" s="101" t="s">
        <v>325</v>
      </c>
      <c r="B30" s="101" t="e">
        <f t="shared" ref="B30:V30" si="31">MATCH(Risque_limaces_parcelle,Classes_risque_Limaces_Parcelle,0)</f>
        <v>#N/A</v>
      </c>
      <c r="C30" s="101" t="e">
        <f t="shared" si="31"/>
        <v>#N/A</v>
      </c>
      <c r="D30" s="101" t="e">
        <f t="shared" si="31"/>
        <v>#N/A</v>
      </c>
      <c r="E30" s="101" t="e">
        <f t="shared" si="31"/>
        <v>#N/A</v>
      </c>
      <c r="F30" s="101" t="e">
        <f t="shared" si="31"/>
        <v>#N/A</v>
      </c>
      <c r="G30" s="101" t="e">
        <f t="shared" si="31"/>
        <v>#N/A</v>
      </c>
      <c r="H30" s="101" t="e">
        <f t="shared" si="31"/>
        <v>#N/A</v>
      </c>
      <c r="I30" s="101" t="e">
        <f t="shared" si="31"/>
        <v>#N/A</v>
      </c>
      <c r="J30" s="101" t="e">
        <f t="shared" si="31"/>
        <v>#N/A</v>
      </c>
      <c r="K30" s="101" t="e">
        <f t="shared" si="31"/>
        <v>#N/A</v>
      </c>
      <c r="L30" s="101" t="e">
        <f t="shared" si="31"/>
        <v>#N/A</v>
      </c>
      <c r="M30" s="101" t="e">
        <f t="shared" si="31"/>
        <v>#N/A</v>
      </c>
      <c r="N30" s="101" t="e">
        <f t="shared" si="31"/>
        <v>#N/A</v>
      </c>
      <c r="O30" s="101" t="e">
        <f t="shared" si="31"/>
        <v>#N/A</v>
      </c>
      <c r="P30" s="101" t="e">
        <f t="shared" si="31"/>
        <v>#N/A</v>
      </c>
      <c r="Q30" s="101" t="e">
        <f t="shared" si="31"/>
        <v>#N/A</v>
      </c>
      <c r="R30" s="101" t="e">
        <f t="shared" si="31"/>
        <v>#N/A</v>
      </c>
      <c r="S30" s="101" t="e">
        <f t="shared" si="31"/>
        <v>#N/A</v>
      </c>
      <c r="T30" s="101" t="e">
        <f t="shared" si="31"/>
        <v>#N/A</v>
      </c>
      <c r="U30" s="101" t="e">
        <f t="shared" si="31"/>
        <v>#N/A</v>
      </c>
      <c r="V30" s="101" t="e">
        <f t="shared" si="31"/>
        <v>#N/A</v>
      </c>
    </row>
    <row r="31" spans="1:22" s="104" customFormat="1">
      <c r="A31" s="104" t="s">
        <v>315</v>
      </c>
      <c r="B31" s="104" t="e">
        <f t="shared" ref="B31:M31" si="32">VLOOKUP(CONCATENATE(B32,B33),RDD_adequation_PS_PH_Sol,2,0)</f>
        <v>#N/A</v>
      </c>
      <c r="C31" s="104" t="e">
        <f t="shared" si="32"/>
        <v>#N/A</v>
      </c>
      <c r="D31" s="104" t="e">
        <f t="shared" si="32"/>
        <v>#N/A</v>
      </c>
      <c r="E31" s="104" t="e">
        <f t="shared" si="32"/>
        <v>#N/A</v>
      </c>
      <c r="F31" s="104" t="e">
        <f t="shared" si="32"/>
        <v>#N/A</v>
      </c>
      <c r="G31" s="104" t="e">
        <f t="shared" si="32"/>
        <v>#N/A</v>
      </c>
      <c r="H31" s="104" t="e">
        <f t="shared" si="32"/>
        <v>#N/A</v>
      </c>
      <c r="I31" s="104" t="e">
        <f t="shared" si="32"/>
        <v>#N/A</v>
      </c>
      <c r="J31" s="104" t="e">
        <f t="shared" si="32"/>
        <v>#N/A</v>
      </c>
      <c r="K31" s="104" t="e">
        <f t="shared" si="32"/>
        <v>#N/A</v>
      </c>
      <c r="L31" s="104" t="e">
        <f t="shared" si="32"/>
        <v>#N/A</v>
      </c>
      <c r="M31" s="104" t="e">
        <f t="shared" si="32"/>
        <v>#N/A</v>
      </c>
      <c r="N31" s="104" t="e">
        <f t="shared" ref="N31:V31" si="33">VLOOKUP(CONCATENATE(N32,N33),RDD_adequation_PS_PH_Sol,2,0)</f>
        <v>#N/A</v>
      </c>
      <c r="O31" s="104" t="e">
        <f t="shared" si="33"/>
        <v>#N/A</v>
      </c>
      <c r="P31" s="104" t="e">
        <f t="shared" si="33"/>
        <v>#N/A</v>
      </c>
      <c r="Q31" s="104" t="e">
        <f t="shared" si="33"/>
        <v>#N/A</v>
      </c>
      <c r="R31" s="104" t="e">
        <f t="shared" si="33"/>
        <v>#N/A</v>
      </c>
      <c r="S31" s="104" t="e">
        <f t="shared" si="33"/>
        <v>#N/A</v>
      </c>
      <c r="T31" s="104" t="e">
        <f t="shared" si="33"/>
        <v>#N/A</v>
      </c>
      <c r="U31" s="104" t="e">
        <f t="shared" si="33"/>
        <v>#N/A</v>
      </c>
      <c r="V31" s="104" t="e">
        <f t="shared" si="33"/>
        <v>#N/A</v>
      </c>
    </row>
    <row r="32" spans="1:22">
      <c r="A32" s="101" t="s">
        <v>346</v>
      </c>
      <c r="B32" s="101" t="e">
        <f t="shared" ref="B32:V32" si="34">MATCH(ph_sol, Classes_pH_Sol,0)</f>
        <v>#N/A</v>
      </c>
      <c r="C32" s="101" t="e">
        <f t="shared" si="34"/>
        <v>#N/A</v>
      </c>
      <c r="D32" s="101" t="e">
        <f t="shared" si="34"/>
        <v>#N/A</v>
      </c>
      <c r="E32" s="101" t="e">
        <f t="shared" si="34"/>
        <v>#N/A</v>
      </c>
      <c r="F32" s="101" t="e">
        <f t="shared" si="34"/>
        <v>#N/A</v>
      </c>
      <c r="G32" s="101" t="e">
        <f t="shared" si="34"/>
        <v>#N/A</v>
      </c>
      <c r="H32" s="101" t="e">
        <f t="shared" si="34"/>
        <v>#N/A</v>
      </c>
      <c r="I32" s="101" t="e">
        <f t="shared" si="34"/>
        <v>#N/A</v>
      </c>
      <c r="J32" s="101" t="e">
        <f t="shared" si="34"/>
        <v>#N/A</v>
      </c>
      <c r="K32" s="101" t="e">
        <f t="shared" si="34"/>
        <v>#N/A</v>
      </c>
      <c r="L32" s="101" t="e">
        <f t="shared" si="34"/>
        <v>#N/A</v>
      </c>
      <c r="M32" s="101" t="e">
        <f t="shared" si="34"/>
        <v>#N/A</v>
      </c>
      <c r="N32" s="101" t="e">
        <f t="shared" si="34"/>
        <v>#N/A</v>
      </c>
      <c r="O32" s="101" t="e">
        <f t="shared" si="34"/>
        <v>#N/A</v>
      </c>
      <c r="P32" s="101" t="e">
        <f t="shared" si="34"/>
        <v>#N/A</v>
      </c>
      <c r="Q32" s="101" t="e">
        <f t="shared" si="34"/>
        <v>#N/A</v>
      </c>
      <c r="R32" s="101" t="e">
        <f t="shared" si="34"/>
        <v>#N/A</v>
      </c>
      <c r="S32" s="101" t="e">
        <f t="shared" si="34"/>
        <v>#N/A</v>
      </c>
      <c r="T32" s="101" t="e">
        <f t="shared" si="34"/>
        <v>#N/A</v>
      </c>
      <c r="U32" s="101" t="e">
        <f t="shared" si="34"/>
        <v>#N/A</v>
      </c>
      <c r="V32" s="101" t="e">
        <f t="shared" si="34"/>
        <v>#N/A</v>
      </c>
    </row>
    <row r="33" spans="1:22">
      <c r="A33" s="102" t="s">
        <v>334</v>
      </c>
      <c r="B33" s="102">
        <f t="shared" ref="B33:V33" si="35">INDEX(preference_PH_PS,1,B$6)</f>
        <v>2</v>
      </c>
      <c r="C33" s="102">
        <f t="shared" si="35"/>
        <v>2</v>
      </c>
      <c r="D33" s="102">
        <f t="shared" si="35"/>
        <v>2</v>
      </c>
      <c r="E33" s="102">
        <f t="shared" si="35"/>
        <v>2</v>
      </c>
      <c r="F33" s="102">
        <f t="shared" si="35"/>
        <v>2</v>
      </c>
      <c r="G33" s="102">
        <f t="shared" si="35"/>
        <v>2</v>
      </c>
      <c r="H33" s="102">
        <f t="shared" si="35"/>
        <v>3</v>
      </c>
      <c r="I33" s="102">
        <f t="shared" si="35"/>
        <v>2</v>
      </c>
      <c r="J33" s="102">
        <f t="shared" si="35"/>
        <v>2</v>
      </c>
      <c r="K33" s="102">
        <f t="shared" si="35"/>
        <v>2</v>
      </c>
      <c r="L33" s="102">
        <f t="shared" si="35"/>
        <v>2</v>
      </c>
      <c r="M33" s="102">
        <f t="shared" si="35"/>
        <v>2</v>
      </c>
      <c r="N33" s="102">
        <f t="shared" si="35"/>
        <v>2</v>
      </c>
      <c r="O33" s="102">
        <f t="shared" si="35"/>
        <v>2</v>
      </c>
      <c r="P33" s="102">
        <f t="shared" si="35"/>
        <v>2</v>
      </c>
      <c r="Q33" s="102">
        <f t="shared" si="35"/>
        <v>2</v>
      </c>
      <c r="R33" s="102">
        <f t="shared" si="35"/>
        <v>2</v>
      </c>
      <c r="S33" s="102">
        <f t="shared" si="35"/>
        <v>2</v>
      </c>
      <c r="T33" s="102">
        <f t="shared" si="35"/>
        <v>2</v>
      </c>
      <c r="U33" s="102">
        <f t="shared" si="35"/>
        <v>2</v>
      </c>
      <c r="V33" s="102" t="e">
        <f t="shared" si="35"/>
        <v>#N/A</v>
      </c>
    </row>
    <row r="34" spans="1:22" s="104" customFormat="1">
      <c r="A34" s="104" t="s">
        <v>316</v>
      </c>
      <c r="B34" s="104" t="e">
        <f>VLOOKUP(CONCATENATE(B35,B38),RDD_Ressources_croissance_PS,2,0)</f>
        <v>#N/A</v>
      </c>
      <c r="C34" s="104" t="e">
        <f t="shared" ref="C34:M34" si="36">VLOOKUP(CONCATENATE(C35,C38),RDD_Ressources_croissance_PS,2,0)</f>
        <v>#N/A</v>
      </c>
      <c r="D34" s="104" t="e">
        <f t="shared" si="36"/>
        <v>#N/A</v>
      </c>
      <c r="E34" s="104" t="e">
        <f t="shared" si="36"/>
        <v>#N/A</v>
      </c>
      <c r="F34" s="104" t="e">
        <f t="shared" si="36"/>
        <v>#N/A</v>
      </c>
      <c r="G34" s="104" t="e">
        <f t="shared" si="36"/>
        <v>#N/A</v>
      </c>
      <c r="H34" s="104" t="e">
        <f t="shared" si="36"/>
        <v>#N/A</v>
      </c>
      <c r="I34" s="104" t="e">
        <f t="shared" si="36"/>
        <v>#N/A</v>
      </c>
      <c r="J34" s="104" t="e">
        <f t="shared" si="36"/>
        <v>#N/A</v>
      </c>
      <c r="K34" s="104" t="e">
        <f t="shared" si="36"/>
        <v>#N/A</v>
      </c>
      <c r="L34" s="104" t="e">
        <f t="shared" si="36"/>
        <v>#N/A</v>
      </c>
      <c r="M34" s="104" t="e">
        <f t="shared" si="36"/>
        <v>#N/A</v>
      </c>
      <c r="N34" s="104" t="e">
        <f t="shared" ref="N34:V34" si="37">VLOOKUP(CONCATENATE(N35,N38),RDD_Ressources_croissance_PS,2,0)</f>
        <v>#N/A</v>
      </c>
      <c r="O34" s="104" t="e">
        <f t="shared" si="37"/>
        <v>#N/A</v>
      </c>
      <c r="P34" s="104" t="e">
        <f t="shared" si="37"/>
        <v>#N/A</v>
      </c>
      <c r="Q34" s="104" t="e">
        <f t="shared" si="37"/>
        <v>#N/A</v>
      </c>
      <c r="R34" s="104" t="e">
        <f t="shared" si="37"/>
        <v>#N/A</v>
      </c>
      <c r="S34" s="104" t="e">
        <f t="shared" si="37"/>
        <v>#N/A</v>
      </c>
      <c r="T34" s="104" t="e">
        <f t="shared" si="37"/>
        <v>#N/A</v>
      </c>
      <c r="U34" s="104" t="e">
        <f t="shared" si="37"/>
        <v>#N/A</v>
      </c>
      <c r="V34" s="104" t="e">
        <f t="shared" si="37"/>
        <v>#N/A</v>
      </c>
    </row>
    <row r="35" spans="1:22" s="104" customFormat="1">
      <c r="A35" s="104" t="s">
        <v>317</v>
      </c>
      <c r="B35" s="104" t="e">
        <f t="shared" ref="B35:M35" si="38">VLOOKUP(CONCATENATE(B36,B37),RDD_Alimentation_Azotee_PS,2,0)</f>
        <v>#N/A</v>
      </c>
      <c r="C35" s="104" t="e">
        <f t="shared" si="38"/>
        <v>#N/A</v>
      </c>
      <c r="D35" s="104" t="e">
        <f t="shared" si="38"/>
        <v>#N/A</v>
      </c>
      <c r="E35" s="104" t="e">
        <f t="shared" si="38"/>
        <v>#N/A</v>
      </c>
      <c r="F35" s="104" t="e">
        <f t="shared" si="38"/>
        <v>#N/A</v>
      </c>
      <c r="G35" s="104" t="e">
        <f t="shared" si="38"/>
        <v>#N/A</v>
      </c>
      <c r="H35" s="104" t="e">
        <f t="shared" si="38"/>
        <v>#N/A</v>
      </c>
      <c r="I35" s="104" t="e">
        <f t="shared" si="38"/>
        <v>#N/A</v>
      </c>
      <c r="J35" s="104" t="e">
        <f t="shared" si="38"/>
        <v>#N/A</v>
      </c>
      <c r="K35" s="104" t="e">
        <f t="shared" si="38"/>
        <v>#N/A</v>
      </c>
      <c r="L35" s="104" t="e">
        <f t="shared" si="38"/>
        <v>#N/A</v>
      </c>
      <c r="M35" s="104" t="e">
        <f t="shared" si="38"/>
        <v>#N/A</v>
      </c>
      <c r="N35" s="104" t="e">
        <f t="shared" ref="N35:V35" si="39">VLOOKUP(CONCATENATE(N36,N37),RDD_Alimentation_Azotee_PS,2,0)</f>
        <v>#N/A</v>
      </c>
      <c r="O35" s="104" t="e">
        <f t="shared" si="39"/>
        <v>#N/A</v>
      </c>
      <c r="P35" s="104" t="e">
        <f t="shared" si="39"/>
        <v>#N/A</v>
      </c>
      <c r="Q35" s="104" t="e">
        <f t="shared" si="39"/>
        <v>#N/A</v>
      </c>
      <c r="R35" s="104" t="e">
        <f t="shared" si="39"/>
        <v>#N/A</v>
      </c>
      <c r="S35" s="104" t="e">
        <f t="shared" si="39"/>
        <v>#N/A</v>
      </c>
      <c r="T35" s="104" t="e">
        <f t="shared" si="39"/>
        <v>#N/A</v>
      </c>
      <c r="U35" s="104" t="e">
        <f t="shared" si="39"/>
        <v>#N/A</v>
      </c>
      <c r="V35" s="104" t="e">
        <f t="shared" si="39"/>
        <v>#N/A</v>
      </c>
    </row>
    <row r="36" spans="1:22" s="101" customFormat="1">
      <c r="A36" s="101" t="s">
        <v>323</v>
      </c>
      <c r="B36" s="101" t="e">
        <f t="shared" ref="B36:V36" si="40">MATCH(Disponibilite_N_semis,Classes_Disponibilite_N_Semis,0)</f>
        <v>#N/A</v>
      </c>
      <c r="C36" s="101" t="e">
        <f t="shared" si="40"/>
        <v>#N/A</v>
      </c>
      <c r="D36" s="101" t="e">
        <f t="shared" si="40"/>
        <v>#N/A</v>
      </c>
      <c r="E36" s="101" t="e">
        <f t="shared" si="40"/>
        <v>#N/A</v>
      </c>
      <c r="F36" s="101" t="e">
        <f t="shared" si="40"/>
        <v>#N/A</v>
      </c>
      <c r="G36" s="101" t="e">
        <f t="shared" si="40"/>
        <v>#N/A</v>
      </c>
      <c r="H36" s="101" t="e">
        <f t="shared" si="40"/>
        <v>#N/A</v>
      </c>
      <c r="I36" s="101" t="e">
        <f t="shared" si="40"/>
        <v>#N/A</v>
      </c>
      <c r="J36" s="101" t="e">
        <f t="shared" si="40"/>
        <v>#N/A</v>
      </c>
      <c r="K36" s="101" t="e">
        <f t="shared" si="40"/>
        <v>#N/A</v>
      </c>
      <c r="L36" s="101" t="e">
        <f t="shared" si="40"/>
        <v>#N/A</v>
      </c>
      <c r="M36" s="101" t="e">
        <f t="shared" si="40"/>
        <v>#N/A</v>
      </c>
      <c r="N36" s="101" t="e">
        <f t="shared" si="40"/>
        <v>#N/A</v>
      </c>
      <c r="O36" s="101" t="e">
        <f t="shared" si="40"/>
        <v>#N/A</v>
      </c>
      <c r="P36" s="101" t="e">
        <f t="shared" si="40"/>
        <v>#N/A</v>
      </c>
      <c r="Q36" s="101" t="e">
        <f t="shared" si="40"/>
        <v>#N/A</v>
      </c>
      <c r="R36" s="101" t="e">
        <f t="shared" si="40"/>
        <v>#N/A</v>
      </c>
      <c r="S36" s="101" t="e">
        <f t="shared" si="40"/>
        <v>#N/A</v>
      </c>
      <c r="T36" s="101" t="e">
        <f t="shared" si="40"/>
        <v>#N/A</v>
      </c>
      <c r="U36" s="101" t="e">
        <f t="shared" si="40"/>
        <v>#N/A</v>
      </c>
      <c r="V36" s="101" t="e">
        <f t="shared" si="40"/>
        <v>#N/A</v>
      </c>
    </row>
    <row r="37" spans="1:22" s="102" customFormat="1">
      <c r="A37" s="102" t="s">
        <v>26</v>
      </c>
      <c r="B37" s="102">
        <f>INDEX(PS_fixatrice_N,1,B$6)</f>
        <v>2</v>
      </c>
      <c r="C37" s="102">
        <f t="shared" ref="C37:V37" si="41">INDEX(PS_fixatrice_N,1,C$6)</f>
        <v>2</v>
      </c>
      <c r="D37" s="102">
        <f t="shared" si="41"/>
        <v>2</v>
      </c>
      <c r="E37" s="102">
        <f t="shared" si="41"/>
        <v>1</v>
      </c>
      <c r="F37" s="102">
        <f t="shared" si="41"/>
        <v>1</v>
      </c>
      <c r="G37" s="102">
        <f t="shared" si="41"/>
        <v>1</v>
      </c>
      <c r="H37" s="102">
        <f t="shared" si="41"/>
        <v>1</v>
      </c>
      <c r="I37" s="102">
        <f t="shared" si="41"/>
        <v>2</v>
      </c>
      <c r="J37" s="102">
        <f t="shared" si="41"/>
        <v>1</v>
      </c>
      <c r="K37" s="102">
        <f t="shared" si="41"/>
        <v>2</v>
      </c>
      <c r="L37" s="102">
        <f t="shared" si="41"/>
        <v>2</v>
      </c>
      <c r="M37" s="102">
        <f t="shared" si="41"/>
        <v>2</v>
      </c>
      <c r="N37" s="102">
        <f t="shared" si="41"/>
        <v>1</v>
      </c>
      <c r="O37" s="102">
        <f t="shared" si="41"/>
        <v>1</v>
      </c>
      <c r="P37" s="102">
        <f t="shared" si="41"/>
        <v>2</v>
      </c>
      <c r="Q37" s="102">
        <f t="shared" si="41"/>
        <v>2</v>
      </c>
      <c r="R37" s="102">
        <f t="shared" si="41"/>
        <v>1</v>
      </c>
      <c r="S37" s="102">
        <f t="shared" si="41"/>
        <v>1</v>
      </c>
      <c r="T37" s="102">
        <f t="shared" si="41"/>
        <v>1</v>
      </c>
      <c r="U37" s="102">
        <f t="shared" si="41"/>
        <v>1</v>
      </c>
      <c r="V37" s="102" t="e">
        <f t="shared" si="41"/>
        <v>#N/A</v>
      </c>
    </row>
    <row r="38" spans="1:22" s="104" customFormat="1">
      <c r="A38" s="104" t="s">
        <v>318</v>
      </c>
      <c r="B38" s="104" t="e">
        <f t="shared" ref="B38:M38" si="42">VLOOKUP(CONCATENATE(B39,B40),RDD_Temperature_rayonnement,2,0)</f>
        <v>#N/A</v>
      </c>
      <c r="C38" s="104" t="e">
        <f t="shared" si="42"/>
        <v>#N/A</v>
      </c>
      <c r="D38" s="104" t="e">
        <f t="shared" si="42"/>
        <v>#N/A</v>
      </c>
      <c r="E38" s="104" t="e">
        <f t="shared" si="42"/>
        <v>#N/A</v>
      </c>
      <c r="F38" s="104" t="e">
        <f t="shared" si="42"/>
        <v>#N/A</v>
      </c>
      <c r="G38" s="104" t="e">
        <f t="shared" si="42"/>
        <v>#N/A</v>
      </c>
      <c r="H38" s="104" t="e">
        <f t="shared" si="42"/>
        <v>#N/A</v>
      </c>
      <c r="I38" s="104" t="e">
        <f t="shared" si="42"/>
        <v>#N/A</v>
      </c>
      <c r="J38" s="104" t="e">
        <f t="shared" si="42"/>
        <v>#N/A</v>
      </c>
      <c r="K38" s="104" t="e">
        <f t="shared" si="42"/>
        <v>#N/A</v>
      </c>
      <c r="L38" s="104" t="e">
        <f t="shared" si="42"/>
        <v>#N/A</v>
      </c>
      <c r="M38" s="104" t="e">
        <f t="shared" si="42"/>
        <v>#N/A</v>
      </c>
      <c r="N38" s="104" t="e">
        <f t="shared" ref="N38:V38" si="43">VLOOKUP(CONCATENATE(N39,N40),RDD_Temperature_rayonnement,2,0)</f>
        <v>#N/A</v>
      </c>
      <c r="O38" s="104" t="e">
        <f t="shared" si="43"/>
        <v>#N/A</v>
      </c>
      <c r="P38" s="104" t="e">
        <f t="shared" si="43"/>
        <v>#N/A</v>
      </c>
      <c r="Q38" s="104" t="e">
        <f t="shared" si="43"/>
        <v>#N/A</v>
      </c>
      <c r="R38" s="104" t="e">
        <f t="shared" si="43"/>
        <v>#N/A</v>
      </c>
      <c r="S38" s="104" t="e">
        <f t="shared" si="43"/>
        <v>#N/A</v>
      </c>
      <c r="T38" s="104" t="e">
        <f t="shared" si="43"/>
        <v>#N/A</v>
      </c>
      <c r="U38" s="104" t="e">
        <f t="shared" si="43"/>
        <v>#N/A</v>
      </c>
      <c r="V38" s="104" t="e">
        <f t="shared" si="43"/>
        <v>#N/A</v>
      </c>
    </row>
    <row r="39" spans="1:22" s="101" customFormat="1">
      <c r="A39" s="101" t="s">
        <v>6</v>
      </c>
      <c r="B39" s="101" t="e">
        <f t="shared" ref="B39:V39" si="44">MATCH(date_semis,Classes_Date_semis,0)</f>
        <v>#N/A</v>
      </c>
      <c r="C39" s="101" t="e">
        <f t="shared" si="44"/>
        <v>#N/A</v>
      </c>
      <c r="D39" s="101" t="e">
        <f t="shared" si="44"/>
        <v>#N/A</v>
      </c>
      <c r="E39" s="101" t="e">
        <f t="shared" si="44"/>
        <v>#N/A</v>
      </c>
      <c r="F39" s="101" t="e">
        <f t="shared" si="44"/>
        <v>#N/A</v>
      </c>
      <c r="G39" s="101" t="e">
        <f t="shared" si="44"/>
        <v>#N/A</v>
      </c>
      <c r="H39" s="101" t="e">
        <f t="shared" si="44"/>
        <v>#N/A</v>
      </c>
      <c r="I39" s="101" t="e">
        <f t="shared" si="44"/>
        <v>#N/A</v>
      </c>
      <c r="J39" s="101" t="e">
        <f t="shared" si="44"/>
        <v>#N/A</v>
      </c>
      <c r="K39" s="101" t="e">
        <f t="shared" si="44"/>
        <v>#N/A</v>
      </c>
      <c r="L39" s="101" t="e">
        <f t="shared" si="44"/>
        <v>#N/A</v>
      </c>
      <c r="M39" s="101" t="e">
        <f t="shared" si="44"/>
        <v>#N/A</v>
      </c>
      <c r="N39" s="101" t="e">
        <f t="shared" si="44"/>
        <v>#N/A</v>
      </c>
      <c r="O39" s="101" t="e">
        <f t="shared" si="44"/>
        <v>#N/A</v>
      </c>
      <c r="P39" s="101" t="e">
        <f t="shared" si="44"/>
        <v>#N/A</v>
      </c>
      <c r="Q39" s="101" t="e">
        <f t="shared" si="44"/>
        <v>#N/A</v>
      </c>
      <c r="R39" s="101" t="e">
        <f t="shared" si="44"/>
        <v>#N/A</v>
      </c>
      <c r="S39" s="101" t="e">
        <f t="shared" si="44"/>
        <v>#N/A</v>
      </c>
      <c r="T39" s="101" t="e">
        <f t="shared" si="44"/>
        <v>#N/A</v>
      </c>
      <c r="U39" s="101" t="e">
        <f t="shared" si="44"/>
        <v>#N/A</v>
      </c>
      <c r="V39" s="101" t="e">
        <f t="shared" si="44"/>
        <v>#N/A</v>
      </c>
    </row>
    <row r="40" spans="1:22" s="102" customFormat="1">
      <c r="A40" s="102" t="s">
        <v>392</v>
      </c>
      <c r="B40" s="102">
        <f t="shared" ref="B40:V40" si="45">INDEX(Sensibilite_gel_PS,1,B$6)</f>
        <v>2</v>
      </c>
      <c r="C40" s="102">
        <f t="shared" si="45"/>
        <v>3</v>
      </c>
      <c r="D40" s="102">
        <f t="shared" si="45"/>
        <v>2</v>
      </c>
      <c r="E40" s="102">
        <f t="shared" si="45"/>
        <v>3</v>
      </c>
      <c r="F40" s="102">
        <f t="shared" si="45"/>
        <v>2</v>
      </c>
      <c r="G40" s="102">
        <f t="shared" si="45"/>
        <v>3</v>
      </c>
      <c r="H40" s="102">
        <f t="shared" si="45"/>
        <v>3</v>
      </c>
      <c r="I40" s="102">
        <f t="shared" si="45"/>
        <v>4</v>
      </c>
      <c r="J40" s="102">
        <f t="shared" si="45"/>
        <v>1</v>
      </c>
      <c r="K40" s="102">
        <f t="shared" si="45"/>
        <v>2</v>
      </c>
      <c r="L40" s="102">
        <f t="shared" si="45"/>
        <v>4</v>
      </c>
      <c r="M40" s="102">
        <f t="shared" si="45"/>
        <v>3</v>
      </c>
      <c r="N40" s="102">
        <f t="shared" si="45"/>
        <v>3</v>
      </c>
      <c r="O40" s="102">
        <f t="shared" si="45"/>
        <v>4</v>
      </c>
      <c r="P40" s="102">
        <f t="shared" si="45"/>
        <v>4</v>
      </c>
      <c r="Q40" s="102">
        <f t="shared" si="45"/>
        <v>4</v>
      </c>
      <c r="R40" s="102">
        <f t="shared" si="45"/>
        <v>3</v>
      </c>
      <c r="S40" s="102">
        <f t="shared" si="45"/>
        <v>1</v>
      </c>
      <c r="T40" s="102">
        <f t="shared" si="45"/>
        <v>2</v>
      </c>
      <c r="U40" s="102">
        <f t="shared" si="45"/>
        <v>3</v>
      </c>
      <c r="V40" s="102" t="e">
        <f t="shared" si="45"/>
        <v>#N/A</v>
      </c>
    </row>
    <row r="41" spans="1:22" s="103" customFormat="1">
      <c r="A41" s="124" t="s">
        <v>69</v>
      </c>
      <c r="B41" s="103" t="e">
        <f t="shared" ref="B41:M41" si="46">VLOOKUP(CONCATENATE(B42,B58),RDD_azote3,2,0)</f>
        <v>#N/A</v>
      </c>
      <c r="C41" s="103" t="e">
        <f t="shared" si="46"/>
        <v>#N/A</v>
      </c>
      <c r="D41" s="103" t="e">
        <f t="shared" si="46"/>
        <v>#N/A</v>
      </c>
      <c r="E41" s="103" t="e">
        <f t="shared" si="46"/>
        <v>#N/A</v>
      </c>
      <c r="F41" s="103" t="e">
        <f t="shared" si="46"/>
        <v>#N/A</v>
      </c>
      <c r="G41" s="103" t="e">
        <f t="shared" si="46"/>
        <v>#N/A</v>
      </c>
      <c r="H41" s="103" t="e">
        <f t="shared" si="46"/>
        <v>#N/A</v>
      </c>
      <c r="I41" s="103" t="e">
        <f t="shared" si="46"/>
        <v>#N/A</v>
      </c>
      <c r="J41" s="103" t="e">
        <f t="shared" si="46"/>
        <v>#N/A</v>
      </c>
      <c r="K41" s="103" t="e">
        <f t="shared" si="46"/>
        <v>#N/A</v>
      </c>
      <c r="L41" s="103" t="e">
        <f t="shared" si="46"/>
        <v>#N/A</v>
      </c>
      <c r="M41" s="103" t="e">
        <f t="shared" si="46"/>
        <v>#N/A</v>
      </c>
      <c r="N41" s="103" t="e">
        <f t="shared" ref="N41:V41" si="47">VLOOKUP(CONCATENATE(N42,N58),RDD_azote3,2,0)</f>
        <v>#N/A</v>
      </c>
      <c r="O41" s="103" t="e">
        <f t="shared" si="47"/>
        <v>#N/A</v>
      </c>
      <c r="P41" s="103" t="e">
        <f t="shared" si="47"/>
        <v>#N/A</v>
      </c>
      <c r="Q41" s="103" t="e">
        <f t="shared" si="47"/>
        <v>#N/A</v>
      </c>
      <c r="R41" s="103" t="e">
        <f t="shared" si="47"/>
        <v>#N/A</v>
      </c>
      <c r="S41" s="103" t="e">
        <f t="shared" si="47"/>
        <v>#N/A</v>
      </c>
      <c r="T41" s="103" t="e">
        <f t="shared" si="47"/>
        <v>#N/A</v>
      </c>
      <c r="U41" s="103" t="e">
        <f t="shared" si="47"/>
        <v>#N/A</v>
      </c>
      <c r="V41" s="103" t="e">
        <f t="shared" si="47"/>
        <v>#N/A</v>
      </c>
    </row>
    <row r="42" spans="1:22" s="106" customFormat="1">
      <c r="A42" s="104" t="s">
        <v>502</v>
      </c>
      <c r="B42" s="104" t="e">
        <f t="shared" ref="B42:M42" si="48">VLOOKUP(CONCATENATE(B43,B49,B53),RDD_mineralisation_residus_PS,2,0)</f>
        <v>#N/A</v>
      </c>
      <c r="C42" s="104" t="e">
        <f t="shared" si="48"/>
        <v>#N/A</v>
      </c>
      <c r="D42" s="104" t="e">
        <f t="shared" si="48"/>
        <v>#N/A</v>
      </c>
      <c r="E42" s="104" t="e">
        <f t="shared" si="48"/>
        <v>#N/A</v>
      </c>
      <c r="F42" s="104" t="e">
        <f t="shared" si="48"/>
        <v>#N/A</v>
      </c>
      <c r="G42" s="104" t="e">
        <f t="shared" si="48"/>
        <v>#N/A</v>
      </c>
      <c r="H42" s="104" t="e">
        <f t="shared" si="48"/>
        <v>#N/A</v>
      </c>
      <c r="I42" s="104" t="e">
        <f t="shared" si="48"/>
        <v>#N/A</v>
      </c>
      <c r="J42" s="104" t="e">
        <f t="shared" si="48"/>
        <v>#N/A</v>
      </c>
      <c r="K42" s="104" t="e">
        <f t="shared" si="48"/>
        <v>#N/A</v>
      </c>
      <c r="L42" s="104" t="e">
        <f t="shared" si="48"/>
        <v>#N/A</v>
      </c>
      <c r="M42" s="104" t="e">
        <f t="shared" si="48"/>
        <v>#N/A</v>
      </c>
      <c r="N42" s="104" t="e">
        <f t="shared" ref="N42:V42" si="49">VLOOKUP(CONCATENATE(N43,N49,N53),RDD_mineralisation_residus_PS,2,0)</f>
        <v>#N/A</v>
      </c>
      <c r="O42" s="104" t="e">
        <f t="shared" si="49"/>
        <v>#N/A</v>
      </c>
      <c r="P42" s="104" t="e">
        <f t="shared" si="49"/>
        <v>#N/A</v>
      </c>
      <c r="Q42" s="104" t="e">
        <f t="shared" si="49"/>
        <v>#N/A</v>
      </c>
      <c r="R42" s="104" t="e">
        <f t="shared" si="49"/>
        <v>#N/A</v>
      </c>
      <c r="S42" s="104" t="e">
        <f t="shared" si="49"/>
        <v>#N/A</v>
      </c>
      <c r="T42" s="104" t="e">
        <f t="shared" si="49"/>
        <v>#N/A</v>
      </c>
      <c r="U42" s="104" t="e">
        <f t="shared" si="49"/>
        <v>#N/A</v>
      </c>
      <c r="V42" s="104" t="e">
        <f t="shared" si="49"/>
        <v>#N/A</v>
      </c>
    </row>
    <row r="43" spans="1:22" s="106" customFormat="1">
      <c r="A43" s="104" t="s">
        <v>506</v>
      </c>
      <c r="B43" s="104" t="e">
        <f t="shared" ref="B43:M43" si="50">VLOOKUP(CONCATENATE(B44,B45,B46),RDD_accumulation_azote,2,0)</f>
        <v>#N/A</v>
      </c>
      <c r="C43" s="104" t="e">
        <f t="shared" si="50"/>
        <v>#N/A</v>
      </c>
      <c r="D43" s="104" t="e">
        <f t="shared" si="50"/>
        <v>#N/A</v>
      </c>
      <c r="E43" s="104" t="e">
        <f t="shared" si="50"/>
        <v>#N/A</v>
      </c>
      <c r="F43" s="104" t="e">
        <f t="shared" si="50"/>
        <v>#N/A</v>
      </c>
      <c r="G43" s="104" t="e">
        <f t="shared" si="50"/>
        <v>#N/A</v>
      </c>
      <c r="H43" s="104" t="e">
        <f t="shared" si="50"/>
        <v>#N/A</v>
      </c>
      <c r="I43" s="104" t="e">
        <f t="shared" si="50"/>
        <v>#N/A</v>
      </c>
      <c r="J43" s="104" t="e">
        <f t="shared" si="50"/>
        <v>#N/A</v>
      </c>
      <c r="K43" s="104" t="e">
        <f t="shared" si="50"/>
        <v>#N/A</v>
      </c>
      <c r="L43" s="104" t="e">
        <f t="shared" si="50"/>
        <v>#N/A</v>
      </c>
      <c r="M43" s="104" t="e">
        <f t="shared" si="50"/>
        <v>#N/A</v>
      </c>
      <c r="N43" s="104" t="e">
        <f t="shared" ref="N43:V43" si="51">VLOOKUP(CONCATENATE(N44,N45,N46),RDD_accumulation_azote,2,0)</f>
        <v>#N/A</v>
      </c>
      <c r="O43" s="104" t="e">
        <f t="shared" si="51"/>
        <v>#N/A</v>
      </c>
      <c r="P43" s="104" t="e">
        <f t="shared" si="51"/>
        <v>#N/A</v>
      </c>
      <c r="Q43" s="104" t="e">
        <f t="shared" si="51"/>
        <v>#N/A</v>
      </c>
      <c r="R43" s="104" t="e">
        <f t="shared" si="51"/>
        <v>#N/A</v>
      </c>
      <c r="S43" s="104" t="e">
        <f t="shared" si="51"/>
        <v>#N/A</v>
      </c>
      <c r="T43" s="104" t="e">
        <f t="shared" si="51"/>
        <v>#N/A</v>
      </c>
      <c r="U43" s="104" t="e">
        <f t="shared" si="51"/>
        <v>#N/A</v>
      </c>
      <c r="V43" s="104" t="e">
        <f t="shared" si="51"/>
        <v>#N/A</v>
      </c>
    </row>
    <row r="44" spans="1:22" s="106" customFormat="1">
      <c r="A44" s="103" t="s">
        <v>355</v>
      </c>
      <c r="B44" s="104" t="e">
        <f>B$8</f>
        <v>#N/A</v>
      </c>
      <c r="C44" s="104" t="e">
        <f t="shared" ref="C44:V44" si="52">C$8</f>
        <v>#N/A</v>
      </c>
      <c r="D44" s="104" t="e">
        <f t="shared" si="52"/>
        <v>#N/A</v>
      </c>
      <c r="E44" s="104" t="e">
        <f t="shared" si="52"/>
        <v>#N/A</v>
      </c>
      <c r="F44" s="104" t="e">
        <f t="shared" si="52"/>
        <v>#N/A</v>
      </c>
      <c r="G44" s="104" t="e">
        <f t="shared" si="52"/>
        <v>#N/A</v>
      </c>
      <c r="H44" s="104" t="e">
        <f t="shared" si="52"/>
        <v>#N/A</v>
      </c>
      <c r="I44" s="104" t="e">
        <f t="shared" si="52"/>
        <v>#N/A</v>
      </c>
      <c r="J44" s="104" t="e">
        <f t="shared" si="52"/>
        <v>#N/A</v>
      </c>
      <c r="K44" s="104" t="e">
        <f t="shared" si="52"/>
        <v>#N/A</v>
      </c>
      <c r="L44" s="104" t="e">
        <f t="shared" si="52"/>
        <v>#N/A</v>
      </c>
      <c r="M44" s="104" t="e">
        <f t="shared" si="52"/>
        <v>#N/A</v>
      </c>
      <c r="N44" s="104" t="e">
        <f t="shared" si="52"/>
        <v>#N/A</v>
      </c>
      <c r="O44" s="104" t="e">
        <f t="shared" si="52"/>
        <v>#N/A</v>
      </c>
      <c r="P44" s="104" t="e">
        <f t="shared" si="52"/>
        <v>#N/A</v>
      </c>
      <c r="Q44" s="104" t="e">
        <f t="shared" si="52"/>
        <v>#N/A</v>
      </c>
      <c r="R44" s="104" t="e">
        <f t="shared" si="52"/>
        <v>#N/A</v>
      </c>
      <c r="S44" s="104" t="e">
        <f t="shared" si="52"/>
        <v>#N/A</v>
      </c>
      <c r="T44" s="104" t="e">
        <f t="shared" si="52"/>
        <v>#N/A</v>
      </c>
      <c r="U44" s="104" t="e">
        <f t="shared" si="52"/>
        <v>#N/A</v>
      </c>
      <c r="V44" s="104" t="e">
        <f t="shared" si="52"/>
        <v>#N/A</v>
      </c>
    </row>
    <row r="45" spans="1:22" s="106" customFormat="1">
      <c r="A45" s="102" t="str">
        <f t="shared" ref="A45:V45" si="53">INDEX(Teneur_N_PS,1,A$6)</f>
        <v>Teneur N PS</v>
      </c>
      <c r="B45" s="102">
        <f t="shared" si="53"/>
        <v>1</v>
      </c>
      <c r="C45" s="102">
        <f t="shared" si="53"/>
        <v>1</v>
      </c>
      <c r="D45" s="102">
        <f t="shared" si="53"/>
        <v>1</v>
      </c>
      <c r="E45" s="102">
        <f t="shared" si="53"/>
        <v>2</v>
      </c>
      <c r="F45" s="102">
        <f t="shared" si="53"/>
        <v>3</v>
      </c>
      <c r="G45" s="102">
        <f t="shared" si="53"/>
        <v>3</v>
      </c>
      <c r="H45" s="102">
        <f t="shared" si="53"/>
        <v>2</v>
      </c>
      <c r="I45" s="102">
        <f t="shared" si="53"/>
        <v>1</v>
      </c>
      <c r="J45" s="102">
        <f t="shared" si="53"/>
        <v>1</v>
      </c>
      <c r="K45" s="102">
        <f t="shared" si="53"/>
        <v>1</v>
      </c>
      <c r="L45" s="102">
        <f t="shared" si="53"/>
        <v>1</v>
      </c>
      <c r="M45" s="102">
        <f t="shared" si="53"/>
        <v>1</v>
      </c>
      <c r="N45" s="102">
        <f t="shared" si="53"/>
        <v>3</v>
      </c>
      <c r="O45" s="102">
        <f t="shared" si="53"/>
        <v>2</v>
      </c>
      <c r="P45" s="102">
        <f t="shared" si="53"/>
        <v>1</v>
      </c>
      <c r="Q45" s="102">
        <f t="shared" si="53"/>
        <v>1</v>
      </c>
      <c r="R45" s="102">
        <f t="shared" si="53"/>
        <v>2</v>
      </c>
      <c r="S45" s="102">
        <f t="shared" si="53"/>
        <v>2</v>
      </c>
      <c r="T45" s="102">
        <f t="shared" si="53"/>
        <v>2</v>
      </c>
      <c r="U45" s="102">
        <f t="shared" si="53"/>
        <v>2</v>
      </c>
      <c r="V45" s="102" t="e">
        <f t="shared" si="53"/>
        <v>#N/A</v>
      </c>
    </row>
    <row r="46" spans="1:22" s="106" customFormat="1">
      <c r="A46" s="104" t="s">
        <v>498</v>
      </c>
      <c r="B46" s="104" t="e">
        <f t="shared" ref="B46:M46" si="54">VLOOKUP(CONCATENATE(B47,B48),RDD_fixation_symbiotique,2,0)</f>
        <v>#N/A</v>
      </c>
      <c r="C46" s="104" t="e">
        <f t="shared" si="54"/>
        <v>#N/A</v>
      </c>
      <c r="D46" s="104" t="e">
        <f t="shared" si="54"/>
        <v>#N/A</v>
      </c>
      <c r="E46" s="104" t="e">
        <f t="shared" si="54"/>
        <v>#N/A</v>
      </c>
      <c r="F46" s="104" t="e">
        <f t="shared" si="54"/>
        <v>#N/A</v>
      </c>
      <c r="G46" s="104" t="e">
        <f t="shared" si="54"/>
        <v>#N/A</v>
      </c>
      <c r="H46" s="104" t="e">
        <f t="shared" si="54"/>
        <v>#N/A</v>
      </c>
      <c r="I46" s="104" t="e">
        <f t="shared" si="54"/>
        <v>#N/A</v>
      </c>
      <c r="J46" s="104" t="e">
        <f t="shared" si="54"/>
        <v>#N/A</v>
      </c>
      <c r="K46" s="104" t="e">
        <f t="shared" si="54"/>
        <v>#N/A</v>
      </c>
      <c r="L46" s="104" t="e">
        <f t="shared" si="54"/>
        <v>#N/A</v>
      </c>
      <c r="M46" s="104" t="e">
        <f t="shared" si="54"/>
        <v>#N/A</v>
      </c>
      <c r="N46" s="104" t="e">
        <f t="shared" ref="N46:V46" si="55">VLOOKUP(CONCATENATE(N47,N48),RDD_fixation_symbiotique,2,0)</f>
        <v>#N/A</v>
      </c>
      <c r="O46" s="104" t="e">
        <f t="shared" si="55"/>
        <v>#N/A</v>
      </c>
      <c r="P46" s="104" t="e">
        <f t="shared" si="55"/>
        <v>#N/A</v>
      </c>
      <c r="Q46" s="104" t="e">
        <f t="shared" si="55"/>
        <v>#N/A</v>
      </c>
      <c r="R46" s="104" t="e">
        <f t="shared" si="55"/>
        <v>#N/A</v>
      </c>
      <c r="S46" s="104" t="e">
        <f t="shared" si="55"/>
        <v>#N/A</v>
      </c>
      <c r="T46" s="104" t="e">
        <f t="shared" si="55"/>
        <v>#N/A</v>
      </c>
      <c r="U46" s="104" t="e">
        <f t="shared" si="55"/>
        <v>#N/A</v>
      </c>
      <c r="V46" s="104" t="e">
        <f t="shared" si="55"/>
        <v>#N/A</v>
      </c>
    </row>
    <row r="47" spans="1:22" s="101" customFormat="1">
      <c r="A47" s="101" t="s">
        <v>323</v>
      </c>
      <c r="B47" s="101" t="e">
        <f t="shared" ref="B47:V47" si="56">MATCH(Disponibilite_N_semis,Classes_Disponibilite_N_Semis,0)</f>
        <v>#N/A</v>
      </c>
      <c r="C47" s="101" t="e">
        <f t="shared" si="56"/>
        <v>#N/A</v>
      </c>
      <c r="D47" s="101" t="e">
        <f t="shared" si="56"/>
        <v>#N/A</v>
      </c>
      <c r="E47" s="101" t="e">
        <f t="shared" si="56"/>
        <v>#N/A</v>
      </c>
      <c r="F47" s="101" t="e">
        <f t="shared" si="56"/>
        <v>#N/A</v>
      </c>
      <c r="G47" s="101" t="e">
        <f t="shared" si="56"/>
        <v>#N/A</v>
      </c>
      <c r="H47" s="101" t="e">
        <f t="shared" si="56"/>
        <v>#N/A</v>
      </c>
      <c r="I47" s="101" t="e">
        <f t="shared" si="56"/>
        <v>#N/A</v>
      </c>
      <c r="J47" s="101" t="e">
        <f t="shared" si="56"/>
        <v>#N/A</v>
      </c>
      <c r="K47" s="101" t="e">
        <f t="shared" si="56"/>
        <v>#N/A</v>
      </c>
      <c r="L47" s="101" t="e">
        <f t="shared" si="56"/>
        <v>#N/A</v>
      </c>
      <c r="M47" s="101" t="e">
        <f t="shared" si="56"/>
        <v>#N/A</v>
      </c>
      <c r="N47" s="101" t="e">
        <f t="shared" si="56"/>
        <v>#N/A</v>
      </c>
      <c r="O47" s="101" t="e">
        <f t="shared" si="56"/>
        <v>#N/A</v>
      </c>
      <c r="P47" s="101" t="e">
        <f t="shared" si="56"/>
        <v>#N/A</v>
      </c>
      <c r="Q47" s="101" t="e">
        <f t="shared" si="56"/>
        <v>#N/A</v>
      </c>
      <c r="R47" s="101" t="e">
        <f t="shared" si="56"/>
        <v>#N/A</v>
      </c>
      <c r="S47" s="101" t="e">
        <f t="shared" si="56"/>
        <v>#N/A</v>
      </c>
      <c r="T47" s="101" t="e">
        <f t="shared" si="56"/>
        <v>#N/A</v>
      </c>
      <c r="U47" s="101" t="e">
        <f t="shared" si="56"/>
        <v>#N/A</v>
      </c>
      <c r="V47" s="101" t="e">
        <f t="shared" si="56"/>
        <v>#N/A</v>
      </c>
    </row>
    <row r="48" spans="1:22" s="102" customFormat="1">
      <c r="A48" s="102" t="str">
        <f t="shared" ref="A48:V48" si="57">INDEX(PS_fixatrice_N,1,A$6)</f>
        <v>PS fixatrice N</v>
      </c>
      <c r="B48" s="102">
        <f t="shared" si="57"/>
        <v>2</v>
      </c>
      <c r="C48" s="102">
        <f t="shared" si="57"/>
        <v>2</v>
      </c>
      <c r="D48" s="102">
        <f t="shared" si="57"/>
        <v>2</v>
      </c>
      <c r="E48" s="102">
        <f t="shared" si="57"/>
        <v>1</v>
      </c>
      <c r="F48" s="102">
        <f t="shared" si="57"/>
        <v>1</v>
      </c>
      <c r="G48" s="102">
        <f t="shared" si="57"/>
        <v>1</v>
      </c>
      <c r="H48" s="102">
        <f t="shared" si="57"/>
        <v>1</v>
      </c>
      <c r="I48" s="102">
        <f t="shared" si="57"/>
        <v>2</v>
      </c>
      <c r="J48" s="102">
        <f t="shared" si="57"/>
        <v>1</v>
      </c>
      <c r="K48" s="102">
        <f t="shared" si="57"/>
        <v>2</v>
      </c>
      <c r="L48" s="102">
        <f t="shared" si="57"/>
        <v>2</v>
      </c>
      <c r="M48" s="102">
        <f t="shared" si="57"/>
        <v>2</v>
      </c>
      <c r="N48" s="102">
        <f t="shared" si="57"/>
        <v>1</v>
      </c>
      <c r="O48" s="102">
        <f t="shared" si="57"/>
        <v>1</v>
      </c>
      <c r="P48" s="102">
        <f t="shared" si="57"/>
        <v>2</v>
      </c>
      <c r="Q48" s="102">
        <f t="shared" si="57"/>
        <v>2</v>
      </c>
      <c r="R48" s="102">
        <f t="shared" si="57"/>
        <v>1</v>
      </c>
      <c r="S48" s="102">
        <f t="shared" si="57"/>
        <v>1</v>
      </c>
      <c r="T48" s="102">
        <f t="shared" si="57"/>
        <v>1</v>
      </c>
      <c r="U48" s="102">
        <f t="shared" si="57"/>
        <v>1</v>
      </c>
      <c r="V48" s="102" t="e">
        <f t="shared" si="57"/>
        <v>#N/A</v>
      </c>
    </row>
    <row r="49" spans="1:22" s="106" customFormat="1">
      <c r="A49" s="104" t="s">
        <v>494</v>
      </c>
      <c r="B49" s="104">
        <f t="shared" ref="B49:M49" si="58">VLOOKUP(CONCATENATE(B50,B51,B52),RDD_disponibilite_physicochimique_azote,2,0)</f>
        <v>3</v>
      </c>
      <c r="C49" s="104">
        <f t="shared" si="58"/>
        <v>3</v>
      </c>
      <c r="D49" s="104">
        <f t="shared" si="58"/>
        <v>2</v>
      </c>
      <c r="E49" s="104">
        <f t="shared" si="58"/>
        <v>2</v>
      </c>
      <c r="F49" s="104">
        <f t="shared" si="58"/>
        <v>3</v>
      </c>
      <c r="G49" s="104">
        <f t="shared" si="58"/>
        <v>5</v>
      </c>
      <c r="H49" s="104">
        <f t="shared" si="58"/>
        <v>4</v>
      </c>
      <c r="I49" s="104">
        <f t="shared" si="58"/>
        <v>1</v>
      </c>
      <c r="J49" s="104">
        <f t="shared" si="58"/>
        <v>1</v>
      </c>
      <c r="K49" s="104">
        <f t="shared" si="58"/>
        <v>3</v>
      </c>
      <c r="L49" s="104">
        <f t="shared" si="58"/>
        <v>3</v>
      </c>
      <c r="M49" s="104">
        <f t="shared" si="58"/>
        <v>1</v>
      </c>
      <c r="N49" s="104">
        <f t="shared" ref="N49:V49" si="59">VLOOKUP(CONCATENATE(N50,N51,N52),RDD_disponibilite_physicochimique_azote,2,0)</f>
        <v>4</v>
      </c>
      <c r="O49" s="104">
        <f t="shared" si="59"/>
        <v>4</v>
      </c>
      <c r="P49" s="104">
        <f t="shared" si="59"/>
        <v>2</v>
      </c>
      <c r="Q49" s="104">
        <f t="shared" si="59"/>
        <v>2</v>
      </c>
      <c r="R49" s="104">
        <f t="shared" si="59"/>
        <v>3</v>
      </c>
      <c r="S49" s="104">
        <f t="shared" si="59"/>
        <v>4</v>
      </c>
      <c r="T49" s="104">
        <f t="shared" si="59"/>
        <v>4</v>
      </c>
      <c r="U49" s="104">
        <f t="shared" si="59"/>
        <v>4</v>
      </c>
      <c r="V49" s="104" t="e">
        <f t="shared" si="59"/>
        <v>#N/A</v>
      </c>
    </row>
    <row r="50" spans="1:22" s="106" customFormat="1">
      <c r="A50" s="102" t="str">
        <f t="shared" ref="A50:V50" si="60">INDEX(Teneur_N_PS,1,A$6)</f>
        <v>Teneur N PS</v>
      </c>
      <c r="B50" s="102">
        <f t="shared" si="60"/>
        <v>1</v>
      </c>
      <c r="C50" s="102">
        <f t="shared" si="60"/>
        <v>1</v>
      </c>
      <c r="D50" s="102">
        <f t="shared" si="60"/>
        <v>1</v>
      </c>
      <c r="E50" s="102">
        <f t="shared" si="60"/>
        <v>2</v>
      </c>
      <c r="F50" s="102">
        <f t="shared" si="60"/>
        <v>3</v>
      </c>
      <c r="G50" s="102">
        <f t="shared" si="60"/>
        <v>3</v>
      </c>
      <c r="H50" s="102">
        <f t="shared" si="60"/>
        <v>2</v>
      </c>
      <c r="I50" s="102">
        <f t="shared" si="60"/>
        <v>1</v>
      </c>
      <c r="J50" s="102">
        <f t="shared" si="60"/>
        <v>1</v>
      </c>
      <c r="K50" s="102">
        <f t="shared" si="60"/>
        <v>1</v>
      </c>
      <c r="L50" s="102">
        <f t="shared" si="60"/>
        <v>1</v>
      </c>
      <c r="M50" s="102">
        <f t="shared" si="60"/>
        <v>1</v>
      </c>
      <c r="N50" s="102">
        <f t="shared" si="60"/>
        <v>3</v>
      </c>
      <c r="O50" s="102">
        <f t="shared" si="60"/>
        <v>2</v>
      </c>
      <c r="P50" s="102">
        <f t="shared" si="60"/>
        <v>1</v>
      </c>
      <c r="Q50" s="102">
        <f t="shared" si="60"/>
        <v>1</v>
      </c>
      <c r="R50" s="102">
        <f t="shared" si="60"/>
        <v>2</v>
      </c>
      <c r="S50" s="102">
        <f t="shared" si="60"/>
        <v>2</v>
      </c>
      <c r="T50" s="102">
        <f t="shared" si="60"/>
        <v>2</v>
      </c>
      <c r="U50" s="102">
        <f t="shared" si="60"/>
        <v>2</v>
      </c>
      <c r="V50" s="102" t="e">
        <f t="shared" si="60"/>
        <v>#N/A</v>
      </c>
    </row>
    <row r="51" spans="1:22" s="106" customFormat="1">
      <c r="A51" s="102" t="str">
        <f t="shared" ref="A51:V51" si="61">INDEX(Biomasse_morte_contact_sol_PS,1,A$6)</f>
        <v>Biomasse PS morte en contact au sol</v>
      </c>
      <c r="B51" s="102">
        <f t="shared" si="61"/>
        <v>3</v>
      </c>
      <c r="C51" s="102">
        <f t="shared" si="61"/>
        <v>3</v>
      </c>
      <c r="D51" s="102">
        <f t="shared" si="61"/>
        <v>2</v>
      </c>
      <c r="E51" s="102">
        <f t="shared" si="61"/>
        <v>1</v>
      </c>
      <c r="F51" s="102">
        <f t="shared" si="61"/>
        <v>1</v>
      </c>
      <c r="G51" s="102">
        <f t="shared" si="61"/>
        <v>3</v>
      </c>
      <c r="H51" s="102">
        <f t="shared" si="61"/>
        <v>3</v>
      </c>
      <c r="I51" s="102">
        <f t="shared" si="61"/>
        <v>1</v>
      </c>
      <c r="J51" s="102">
        <f t="shared" si="61"/>
        <v>1</v>
      </c>
      <c r="K51" s="102">
        <f t="shared" si="61"/>
        <v>3</v>
      </c>
      <c r="L51" s="102">
        <f t="shared" si="61"/>
        <v>3</v>
      </c>
      <c r="M51" s="102">
        <f t="shared" si="61"/>
        <v>1</v>
      </c>
      <c r="N51" s="102">
        <f t="shared" si="61"/>
        <v>2</v>
      </c>
      <c r="O51" s="102">
        <f t="shared" si="61"/>
        <v>3</v>
      </c>
      <c r="P51" s="102">
        <f t="shared" si="61"/>
        <v>2</v>
      </c>
      <c r="Q51" s="102">
        <f t="shared" si="61"/>
        <v>2</v>
      </c>
      <c r="R51" s="102">
        <f t="shared" si="61"/>
        <v>2</v>
      </c>
      <c r="S51" s="102">
        <f t="shared" si="61"/>
        <v>3</v>
      </c>
      <c r="T51" s="102">
        <f t="shared" si="61"/>
        <v>3</v>
      </c>
      <c r="U51" s="102">
        <f t="shared" si="61"/>
        <v>3</v>
      </c>
      <c r="V51" s="102" t="e">
        <f t="shared" si="61"/>
        <v>#N/A</v>
      </c>
    </row>
    <row r="52" spans="1:22" s="106" customFormat="1">
      <c r="A52" s="102" t="str">
        <f t="shared" ref="A52:V52" si="62">INDEX(Fraction_soluble_PS,1,A$6)</f>
        <v>Fraction soluble PS</v>
      </c>
      <c r="B52" s="102">
        <f t="shared" si="62"/>
        <v>2</v>
      </c>
      <c r="C52" s="102">
        <f t="shared" si="62"/>
        <v>2</v>
      </c>
      <c r="D52" s="102">
        <f t="shared" si="62"/>
        <v>2</v>
      </c>
      <c r="E52" s="102">
        <f t="shared" si="62"/>
        <v>2</v>
      </c>
      <c r="F52" s="102">
        <f t="shared" si="62"/>
        <v>2</v>
      </c>
      <c r="G52" s="102">
        <f t="shared" si="62"/>
        <v>2</v>
      </c>
      <c r="H52" s="102">
        <f t="shared" si="62"/>
        <v>2</v>
      </c>
      <c r="I52" s="102">
        <f t="shared" si="62"/>
        <v>2</v>
      </c>
      <c r="J52" s="102">
        <f t="shared" si="62"/>
        <v>2</v>
      </c>
      <c r="K52" s="102">
        <f t="shared" si="62"/>
        <v>2</v>
      </c>
      <c r="L52" s="102">
        <f t="shared" si="62"/>
        <v>2</v>
      </c>
      <c r="M52" s="102">
        <f t="shared" si="62"/>
        <v>2</v>
      </c>
      <c r="N52" s="102">
        <f t="shared" si="62"/>
        <v>2</v>
      </c>
      <c r="O52" s="102">
        <f t="shared" si="62"/>
        <v>2</v>
      </c>
      <c r="P52" s="102">
        <f t="shared" si="62"/>
        <v>2</v>
      </c>
      <c r="Q52" s="102">
        <f t="shared" si="62"/>
        <v>2</v>
      </c>
      <c r="R52" s="102">
        <f t="shared" si="62"/>
        <v>2</v>
      </c>
      <c r="S52" s="102">
        <f t="shared" si="62"/>
        <v>2</v>
      </c>
      <c r="T52" s="102">
        <f t="shared" si="62"/>
        <v>2</v>
      </c>
      <c r="U52" s="102">
        <f t="shared" si="62"/>
        <v>2</v>
      </c>
      <c r="V52" s="102" t="e">
        <f t="shared" si="62"/>
        <v>#N/A</v>
      </c>
    </row>
    <row r="53" spans="1:22" s="106" customFormat="1">
      <c r="A53" s="104" t="s">
        <v>438</v>
      </c>
      <c r="B53" s="104" t="e">
        <f t="shared" ref="B53:M53" si="63">VLOOKUP(CONCATENATE(B54,B57),RDD_destruction_PS,2,0)</f>
        <v>#N/A</v>
      </c>
      <c r="C53" s="104" t="e">
        <f t="shared" si="63"/>
        <v>#N/A</v>
      </c>
      <c r="D53" s="104" t="e">
        <f t="shared" si="63"/>
        <v>#N/A</v>
      </c>
      <c r="E53" s="104" t="e">
        <f t="shared" si="63"/>
        <v>#N/A</v>
      </c>
      <c r="F53" s="104" t="e">
        <f t="shared" si="63"/>
        <v>#N/A</v>
      </c>
      <c r="G53" s="104" t="e">
        <f t="shared" si="63"/>
        <v>#N/A</v>
      </c>
      <c r="H53" s="104" t="e">
        <f t="shared" si="63"/>
        <v>#N/A</v>
      </c>
      <c r="I53" s="104" t="e">
        <f t="shared" si="63"/>
        <v>#N/A</v>
      </c>
      <c r="J53" s="104" t="e">
        <f t="shared" si="63"/>
        <v>#N/A</v>
      </c>
      <c r="K53" s="104" t="e">
        <f t="shared" si="63"/>
        <v>#N/A</v>
      </c>
      <c r="L53" s="104" t="e">
        <f t="shared" si="63"/>
        <v>#N/A</v>
      </c>
      <c r="M53" s="104" t="e">
        <f t="shared" si="63"/>
        <v>#N/A</v>
      </c>
      <c r="N53" s="104" t="e">
        <f t="shared" ref="N53:V53" si="64">VLOOKUP(CONCATENATE(N54,N57),RDD_destruction_PS,2,0)</f>
        <v>#N/A</v>
      </c>
      <c r="O53" s="104" t="e">
        <f t="shared" si="64"/>
        <v>#N/A</v>
      </c>
      <c r="P53" s="104" t="e">
        <f t="shared" si="64"/>
        <v>#N/A</v>
      </c>
      <c r="Q53" s="104" t="e">
        <f t="shared" si="64"/>
        <v>#N/A</v>
      </c>
      <c r="R53" s="104" t="e">
        <f t="shared" si="64"/>
        <v>#N/A</v>
      </c>
      <c r="S53" s="104" t="e">
        <f t="shared" si="64"/>
        <v>#N/A</v>
      </c>
      <c r="T53" s="104" t="e">
        <f t="shared" si="64"/>
        <v>#N/A</v>
      </c>
      <c r="U53" s="104" t="e">
        <f t="shared" si="64"/>
        <v>#N/A</v>
      </c>
      <c r="V53" s="104" t="e">
        <f t="shared" si="64"/>
        <v>#N/A</v>
      </c>
    </row>
    <row r="54" spans="1:22" s="106" customFormat="1">
      <c r="A54" s="104" t="s">
        <v>221</v>
      </c>
      <c r="B54" s="104" t="e">
        <f t="shared" ref="B54:M54" si="65">VLOOKUP(CONCATENATE(B55,B56),RDD_destruction_par_gel,2,0)</f>
        <v>#N/A</v>
      </c>
      <c r="C54" s="104" t="e">
        <f t="shared" si="65"/>
        <v>#N/A</v>
      </c>
      <c r="D54" s="104" t="e">
        <f t="shared" si="65"/>
        <v>#N/A</v>
      </c>
      <c r="E54" s="104" t="e">
        <f t="shared" si="65"/>
        <v>#N/A</v>
      </c>
      <c r="F54" s="104" t="e">
        <f t="shared" si="65"/>
        <v>#N/A</v>
      </c>
      <c r="G54" s="104" t="e">
        <f t="shared" si="65"/>
        <v>#N/A</v>
      </c>
      <c r="H54" s="104" t="e">
        <f t="shared" si="65"/>
        <v>#N/A</v>
      </c>
      <c r="I54" s="104" t="e">
        <f t="shared" si="65"/>
        <v>#N/A</v>
      </c>
      <c r="J54" s="104" t="e">
        <f t="shared" si="65"/>
        <v>#N/A</v>
      </c>
      <c r="K54" s="104" t="e">
        <f t="shared" si="65"/>
        <v>#N/A</v>
      </c>
      <c r="L54" s="104" t="e">
        <f t="shared" si="65"/>
        <v>#N/A</v>
      </c>
      <c r="M54" s="104" t="e">
        <f t="shared" si="65"/>
        <v>#N/A</v>
      </c>
      <c r="N54" s="104" t="e">
        <f t="shared" ref="N54:V54" si="66">VLOOKUP(CONCATENATE(N55,N56),RDD_destruction_par_gel,2,0)</f>
        <v>#N/A</v>
      </c>
      <c r="O54" s="104" t="e">
        <f t="shared" si="66"/>
        <v>#N/A</v>
      </c>
      <c r="P54" s="104" t="e">
        <f t="shared" si="66"/>
        <v>#N/A</v>
      </c>
      <c r="Q54" s="104" t="e">
        <f t="shared" si="66"/>
        <v>#N/A</v>
      </c>
      <c r="R54" s="104" t="e">
        <f t="shared" si="66"/>
        <v>#N/A</v>
      </c>
      <c r="S54" s="104" t="e">
        <f t="shared" si="66"/>
        <v>#N/A</v>
      </c>
      <c r="T54" s="104" t="e">
        <f t="shared" si="66"/>
        <v>#N/A</v>
      </c>
      <c r="U54" s="104" t="e">
        <f t="shared" si="66"/>
        <v>#N/A</v>
      </c>
      <c r="V54" s="104" t="e">
        <f t="shared" si="66"/>
        <v>#N/A</v>
      </c>
    </row>
    <row r="55" spans="1:22" s="106" customFormat="1">
      <c r="A55" s="101" t="s">
        <v>341</v>
      </c>
      <c r="B55" s="101" t="e">
        <f t="shared" ref="B55:V55" si="67">MATCH(Frequence_gel, Classes_frequence_gel,0)</f>
        <v>#N/A</v>
      </c>
      <c r="C55" s="101" t="e">
        <f t="shared" si="67"/>
        <v>#N/A</v>
      </c>
      <c r="D55" s="101" t="e">
        <f t="shared" si="67"/>
        <v>#N/A</v>
      </c>
      <c r="E55" s="101" t="e">
        <f t="shared" si="67"/>
        <v>#N/A</v>
      </c>
      <c r="F55" s="101" t="e">
        <f t="shared" si="67"/>
        <v>#N/A</v>
      </c>
      <c r="G55" s="101" t="e">
        <f t="shared" si="67"/>
        <v>#N/A</v>
      </c>
      <c r="H55" s="101" t="e">
        <f t="shared" si="67"/>
        <v>#N/A</v>
      </c>
      <c r="I55" s="101" t="e">
        <f t="shared" si="67"/>
        <v>#N/A</v>
      </c>
      <c r="J55" s="101" t="e">
        <f t="shared" si="67"/>
        <v>#N/A</v>
      </c>
      <c r="K55" s="101" t="e">
        <f t="shared" si="67"/>
        <v>#N/A</v>
      </c>
      <c r="L55" s="101" t="e">
        <f t="shared" si="67"/>
        <v>#N/A</v>
      </c>
      <c r="M55" s="101" t="e">
        <f t="shared" si="67"/>
        <v>#N/A</v>
      </c>
      <c r="N55" s="101" t="e">
        <f t="shared" si="67"/>
        <v>#N/A</v>
      </c>
      <c r="O55" s="101" t="e">
        <f t="shared" si="67"/>
        <v>#N/A</v>
      </c>
      <c r="P55" s="101" t="e">
        <f t="shared" si="67"/>
        <v>#N/A</v>
      </c>
      <c r="Q55" s="101" t="e">
        <f t="shared" si="67"/>
        <v>#N/A</v>
      </c>
      <c r="R55" s="101" t="e">
        <f t="shared" si="67"/>
        <v>#N/A</v>
      </c>
      <c r="S55" s="101" t="e">
        <f t="shared" si="67"/>
        <v>#N/A</v>
      </c>
      <c r="T55" s="101" t="e">
        <f t="shared" si="67"/>
        <v>#N/A</v>
      </c>
      <c r="U55" s="101" t="e">
        <f t="shared" si="67"/>
        <v>#N/A</v>
      </c>
      <c r="V55" s="101" t="e">
        <f t="shared" si="67"/>
        <v>#N/A</v>
      </c>
    </row>
    <row r="56" spans="1:22" s="106" customFormat="1">
      <c r="A56" s="102" t="s">
        <v>392</v>
      </c>
      <c r="B56" s="102">
        <f t="shared" ref="B56:V56" si="68">INDEX(Sensibilite_gel_PS,1,B$6)</f>
        <v>2</v>
      </c>
      <c r="C56" s="102">
        <f t="shared" si="68"/>
        <v>3</v>
      </c>
      <c r="D56" s="102">
        <f t="shared" si="68"/>
        <v>2</v>
      </c>
      <c r="E56" s="102">
        <f t="shared" si="68"/>
        <v>3</v>
      </c>
      <c r="F56" s="102">
        <f t="shared" si="68"/>
        <v>2</v>
      </c>
      <c r="G56" s="102">
        <f t="shared" si="68"/>
        <v>3</v>
      </c>
      <c r="H56" s="102">
        <f t="shared" si="68"/>
        <v>3</v>
      </c>
      <c r="I56" s="102">
        <f t="shared" si="68"/>
        <v>4</v>
      </c>
      <c r="J56" s="102">
        <f t="shared" si="68"/>
        <v>1</v>
      </c>
      <c r="K56" s="102">
        <f t="shared" si="68"/>
        <v>2</v>
      </c>
      <c r="L56" s="102">
        <f t="shared" si="68"/>
        <v>4</v>
      </c>
      <c r="M56" s="102">
        <f t="shared" si="68"/>
        <v>3</v>
      </c>
      <c r="N56" s="102">
        <f t="shared" si="68"/>
        <v>3</v>
      </c>
      <c r="O56" s="102">
        <f t="shared" si="68"/>
        <v>4</v>
      </c>
      <c r="P56" s="102">
        <f t="shared" si="68"/>
        <v>4</v>
      </c>
      <c r="Q56" s="102">
        <f t="shared" si="68"/>
        <v>4</v>
      </c>
      <c r="R56" s="102">
        <f t="shared" si="68"/>
        <v>3</v>
      </c>
      <c r="S56" s="102">
        <f t="shared" si="68"/>
        <v>1</v>
      </c>
      <c r="T56" s="102">
        <f t="shared" si="68"/>
        <v>2</v>
      </c>
      <c r="U56" s="102">
        <f t="shared" si="68"/>
        <v>3</v>
      </c>
      <c r="V56" s="102" t="e">
        <f t="shared" si="68"/>
        <v>#N/A</v>
      </c>
    </row>
    <row r="57" spans="1:22" s="106" customFormat="1">
      <c r="A57" s="101" t="s">
        <v>16</v>
      </c>
      <c r="B57" s="101" t="e">
        <f t="shared" ref="B57:V57" si="69">MATCH(Mode_destruction, classes_mode_destruction,0)</f>
        <v>#N/A</v>
      </c>
      <c r="C57" s="101" t="e">
        <f t="shared" si="69"/>
        <v>#N/A</v>
      </c>
      <c r="D57" s="101" t="e">
        <f t="shared" si="69"/>
        <v>#N/A</v>
      </c>
      <c r="E57" s="101" t="e">
        <f t="shared" si="69"/>
        <v>#N/A</v>
      </c>
      <c r="F57" s="101" t="e">
        <f t="shared" si="69"/>
        <v>#N/A</v>
      </c>
      <c r="G57" s="101" t="e">
        <f t="shared" si="69"/>
        <v>#N/A</v>
      </c>
      <c r="H57" s="101" t="e">
        <f t="shared" si="69"/>
        <v>#N/A</v>
      </c>
      <c r="I57" s="101" t="e">
        <f t="shared" si="69"/>
        <v>#N/A</v>
      </c>
      <c r="J57" s="101" t="e">
        <f t="shared" si="69"/>
        <v>#N/A</v>
      </c>
      <c r="K57" s="101" t="e">
        <f t="shared" si="69"/>
        <v>#N/A</v>
      </c>
      <c r="L57" s="101" t="e">
        <f t="shared" si="69"/>
        <v>#N/A</v>
      </c>
      <c r="M57" s="101" t="e">
        <f t="shared" si="69"/>
        <v>#N/A</v>
      </c>
      <c r="N57" s="101" t="e">
        <f t="shared" si="69"/>
        <v>#N/A</v>
      </c>
      <c r="O57" s="101" t="e">
        <f t="shared" si="69"/>
        <v>#N/A</v>
      </c>
      <c r="P57" s="101" t="e">
        <f t="shared" si="69"/>
        <v>#N/A</v>
      </c>
      <c r="Q57" s="101" t="e">
        <f t="shared" si="69"/>
        <v>#N/A</v>
      </c>
      <c r="R57" s="101" t="e">
        <f t="shared" si="69"/>
        <v>#N/A</v>
      </c>
      <c r="S57" s="101" t="e">
        <f t="shared" si="69"/>
        <v>#N/A</v>
      </c>
      <c r="T57" s="101" t="e">
        <f t="shared" si="69"/>
        <v>#N/A</v>
      </c>
      <c r="U57" s="101" t="e">
        <f t="shared" si="69"/>
        <v>#N/A</v>
      </c>
      <c r="V57" s="101" t="e">
        <f t="shared" si="69"/>
        <v>#N/A</v>
      </c>
    </row>
    <row r="58" spans="1:22" s="106" customFormat="1">
      <c r="A58" s="104" t="s">
        <v>491</v>
      </c>
      <c r="B58" s="104" t="e">
        <f t="shared" ref="B58:M58" si="70">VLOOKUP(CONCATENATE(B59,B65,B68),RDD_facilitation_absorption_azote,2,0)</f>
        <v>#N/A</v>
      </c>
      <c r="C58" s="104" t="e">
        <f t="shared" si="70"/>
        <v>#N/A</v>
      </c>
      <c r="D58" s="104" t="e">
        <f t="shared" si="70"/>
        <v>#N/A</v>
      </c>
      <c r="E58" s="104" t="e">
        <f t="shared" si="70"/>
        <v>#N/A</v>
      </c>
      <c r="F58" s="104" t="e">
        <f t="shared" si="70"/>
        <v>#N/A</v>
      </c>
      <c r="G58" s="104" t="e">
        <f t="shared" si="70"/>
        <v>#N/A</v>
      </c>
      <c r="H58" s="104" t="e">
        <f t="shared" si="70"/>
        <v>#N/A</v>
      </c>
      <c r="I58" s="104" t="e">
        <f t="shared" si="70"/>
        <v>#N/A</v>
      </c>
      <c r="J58" s="104" t="e">
        <f t="shared" si="70"/>
        <v>#N/A</v>
      </c>
      <c r="K58" s="104" t="e">
        <f t="shared" si="70"/>
        <v>#N/A</v>
      </c>
      <c r="L58" s="104" t="e">
        <f t="shared" si="70"/>
        <v>#N/A</v>
      </c>
      <c r="M58" s="104" t="e">
        <f t="shared" si="70"/>
        <v>#N/A</v>
      </c>
      <c r="N58" s="104" t="e">
        <f t="shared" ref="N58:V58" si="71">VLOOKUP(CONCATENATE(N59,N65,N68),RDD_facilitation_absorption_azote,2,0)</f>
        <v>#N/A</v>
      </c>
      <c r="O58" s="104" t="e">
        <f t="shared" si="71"/>
        <v>#N/A</v>
      </c>
      <c r="P58" s="104" t="e">
        <f t="shared" si="71"/>
        <v>#N/A</v>
      </c>
      <c r="Q58" s="104" t="e">
        <f t="shared" si="71"/>
        <v>#N/A</v>
      </c>
      <c r="R58" s="104" t="e">
        <f t="shared" si="71"/>
        <v>#N/A</v>
      </c>
      <c r="S58" s="104" t="e">
        <f t="shared" si="71"/>
        <v>#N/A</v>
      </c>
      <c r="T58" s="104" t="e">
        <f t="shared" si="71"/>
        <v>#N/A</v>
      </c>
      <c r="U58" s="104" t="e">
        <f t="shared" si="71"/>
        <v>#N/A</v>
      </c>
      <c r="V58" s="104" t="e">
        <f t="shared" si="71"/>
        <v>#N/A</v>
      </c>
    </row>
    <row r="59" spans="1:22" s="106" customFormat="1">
      <c r="A59" s="104" t="s">
        <v>489</v>
      </c>
      <c r="B59" s="104" t="e">
        <f t="shared" ref="B59:M59" si="72">VLOOKUP(CONCATENATE(B60,B63,B64),RDD_structuration_sol,2,0)</f>
        <v>#N/A</v>
      </c>
      <c r="C59" s="104" t="e">
        <f t="shared" si="72"/>
        <v>#N/A</v>
      </c>
      <c r="D59" s="104" t="e">
        <f t="shared" si="72"/>
        <v>#N/A</v>
      </c>
      <c r="E59" s="104" t="e">
        <f t="shared" si="72"/>
        <v>#N/A</v>
      </c>
      <c r="F59" s="104" t="e">
        <f t="shared" si="72"/>
        <v>#N/A</v>
      </c>
      <c r="G59" s="104" t="e">
        <f t="shared" si="72"/>
        <v>#N/A</v>
      </c>
      <c r="H59" s="104" t="e">
        <f t="shared" si="72"/>
        <v>#N/A</v>
      </c>
      <c r="I59" s="104" t="e">
        <f t="shared" si="72"/>
        <v>#N/A</v>
      </c>
      <c r="J59" s="104" t="e">
        <f t="shared" si="72"/>
        <v>#N/A</v>
      </c>
      <c r="K59" s="104" t="e">
        <f t="shared" si="72"/>
        <v>#N/A</v>
      </c>
      <c r="L59" s="104" t="e">
        <f t="shared" si="72"/>
        <v>#N/A</v>
      </c>
      <c r="M59" s="104" t="e">
        <f t="shared" si="72"/>
        <v>#N/A</v>
      </c>
      <c r="N59" s="104" t="e">
        <f t="shared" ref="N59:V59" si="73">VLOOKUP(CONCATENATE(N60,N63,N64),RDD_structuration_sol,2,0)</f>
        <v>#N/A</v>
      </c>
      <c r="O59" s="104" t="e">
        <f t="shared" si="73"/>
        <v>#N/A</v>
      </c>
      <c r="P59" s="104" t="e">
        <f t="shared" si="73"/>
        <v>#N/A</v>
      </c>
      <c r="Q59" s="104" t="e">
        <f t="shared" si="73"/>
        <v>#N/A</v>
      </c>
      <c r="R59" s="104" t="e">
        <f t="shared" si="73"/>
        <v>#N/A</v>
      </c>
      <c r="S59" s="104" t="e">
        <f t="shared" si="73"/>
        <v>#N/A</v>
      </c>
      <c r="T59" s="104" t="e">
        <f t="shared" si="73"/>
        <v>#N/A</v>
      </c>
      <c r="U59" s="104" t="e">
        <f t="shared" si="73"/>
        <v>#N/A</v>
      </c>
      <c r="V59" s="104" t="e">
        <f t="shared" si="73"/>
        <v>#N/A</v>
      </c>
    </row>
    <row r="60" spans="1:22" s="106" customFormat="1">
      <c r="A60" s="104" t="s">
        <v>485</v>
      </c>
      <c r="B60" s="104">
        <f t="shared" ref="B60:K60" si="74">VLOOKUP(CONCATENATE(B61,B62),RDD_puissance_systeme_racinaire,2,0)</f>
        <v>2</v>
      </c>
      <c r="C60" s="104">
        <f t="shared" si="74"/>
        <v>2</v>
      </c>
      <c r="D60" s="104">
        <f t="shared" si="74"/>
        <v>3</v>
      </c>
      <c r="E60" s="104">
        <f t="shared" si="74"/>
        <v>2</v>
      </c>
      <c r="F60" s="104">
        <f t="shared" si="74"/>
        <v>3</v>
      </c>
      <c r="G60" s="104">
        <f t="shared" si="74"/>
        <v>2</v>
      </c>
      <c r="H60" s="104">
        <f t="shared" si="74"/>
        <v>1</v>
      </c>
      <c r="I60" s="104">
        <f t="shared" si="74"/>
        <v>3</v>
      </c>
      <c r="J60" s="104">
        <f t="shared" si="74"/>
        <v>3</v>
      </c>
      <c r="K60" s="104">
        <f t="shared" si="74"/>
        <v>3</v>
      </c>
      <c r="L60" s="104">
        <f t="shared" ref="L60:V60" si="75">VLOOKUP(CONCATENATE(L61,L62),RDD_puissance_systeme_racinaire,2,0)</f>
        <v>3</v>
      </c>
      <c r="M60" s="104">
        <f t="shared" si="75"/>
        <v>3</v>
      </c>
      <c r="N60" s="104">
        <f t="shared" si="75"/>
        <v>3</v>
      </c>
      <c r="O60" s="104">
        <f t="shared" si="75"/>
        <v>3</v>
      </c>
      <c r="P60" s="104">
        <f t="shared" si="75"/>
        <v>2</v>
      </c>
      <c r="Q60" s="104">
        <f t="shared" si="75"/>
        <v>3</v>
      </c>
      <c r="R60" s="104">
        <f t="shared" si="75"/>
        <v>2</v>
      </c>
      <c r="S60" s="104">
        <f t="shared" si="75"/>
        <v>2</v>
      </c>
      <c r="T60" s="104">
        <f t="shared" si="75"/>
        <v>1</v>
      </c>
      <c r="U60" s="104">
        <f t="shared" si="75"/>
        <v>1</v>
      </c>
      <c r="V60" s="104" t="e">
        <f t="shared" si="75"/>
        <v>#N/A</v>
      </c>
    </row>
    <row r="61" spans="1:22" s="106" customFormat="1">
      <c r="A61" s="102" t="str">
        <f t="shared" ref="A61:K61" si="76">INDEX(Profondeur_systeme_racinaire_PS,1,A$6)</f>
        <v>Profondeur systeme racinaire PS</v>
      </c>
      <c r="B61" s="102">
        <f t="shared" si="76"/>
        <v>2</v>
      </c>
      <c r="C61" s="102">
        <f t="shared" si="76"/>
        <v>2</v>
      </c>
      <c r="D61" s="102">
        <f t="shared" si="76"/>
        <v>3</v>
      </c>
      <c r="E61" s="102">
        <f t="shared" si="76"/>
        <v>2</v>
      </c>
      <c r="F61" s="102">
        <f t="shared" si="76"/>
        <v>3</v>
      </c>
      <c r="G61" s="102">
        <f t="shared" si="76"/>
        <v>2</v>
      </c>
      <c r="H61" s="102">
        <f t="shared" si="76"/>
        <v>1</v>
      </c>
      <c r="I61" s="102">
        <f t="shared" si="76"/>
        <v>3</v>
      </c>
      <c r="J61" s="102">
        <f t="shared" si="76"/>
        <v>3</v>
      </c>
      <c r="K61" s="102">
        <f t="shared" si="76"/>
        <v>3</v>
      </c>
      <c r="L61" s="102">
        <f t="shared" ref="L61:V61" si="77">INDEX(Profondeur_systeme_racinaire_PS,1,L$6)</f>
        <v>3</v>
      </c>
      <c r="M61" s="102">
        <f t="shared" si="77"/>
        <v>3</v>
      </c>
      <c r="N61" s="102">
        <f t="shared" si="77"/>
        <v>3</v>
      </c>
      <c r="O61" s="102">
        <f t="shared" si="77"/>
        <v>3</v>
      </c>
      <c r="P61" s="102">
        <f t="shared" si="77"/>
        <v>2</v>
      </c>
      <c r="Q61" s="102">
        <f t="shared" si="77"/>
        <v>3</v>
      </c>
      <c r="R61" s="102">
        <f t="shared" si="77"/>
        <v>2</v>
      </c>
      <c r="S61" s="102">
        <f t="shared" si="77"/>
        <v>2</v>
      </c>
      <c r="T61" s="102">
        <f t="shared" si="77"/>
        <v>1</v>
      </c>
      <c r="U61" s="102">
        <f t="shared" si="77"/>
        <v>1</v>
      </c>
      <c r="V61" s="102" t="e">
        <f t="shared" si="77"/>
        <v>#N/A</v>
      </c>
    </row>
    <row r="62" spans="1:22" s="106" customFormat="1">
      <c r="A62" s="102" t="str">
        <f t="shared" ref="A62:K62" si="78">INDEX(Configuration_systeme_racinaire_PS,1,A$6)</f>
        <v>Configuration système racinaire PS</v>
      </c>
      <c r="B62" s="102">
        <f t="shared" si="78"/>
        <v>1</v>
      </c>
      <c r="C62" s="102">
        <f t="shared" si="78"/>
        <v>1</v>
      </c>
      <c r="D62" s="102">
        <f t="shared" si="78"/>
        <v>3</v>
      </c>
      <c r="E62" s="102">
        <f t="shared" si="78"/>
        <v>3</v>
      </c>
      <c r="F62" s="102">
        <f t="shared" si="78"/>
        <v>3</v>
      </c>
      <c r="G62" s="102">
        <f t="shared" si="78"/>
        <v>1</v>
      </c>
      <c r="H62" s="102">
        <f t="shared" si="78"/>
        <v>2</v>
      </c>
      <c r="I62" s="102">
        <f t="shared" si="78"/>
        <v>3</v>
      </c>
      <c r="J62" s="102">
        <f t="shared" si="78"/>
        <v>3</v>
      </c>
      <c r="K62" s="102">
        <f t="shared" si="78"/>
        <v>3</v>
      </c>
      <c r="L62" s="102">
        <f t="shared" ref="L62:V62" si="79">INDEX(Configuration_systeme_racinaire_PS,1,L$6)</f>
        <v>2</v>
      </c>
      <c r="M62" s="102">
        <f t="shared" si="79"/>
        <v>2</v>
      </c>
      <c r="N62" s="102">
        <f t="shared" si="79"/>
        <v>2</v>
      </c>
      <c r="O62" s="102">
        <f t="shared" si="79"/>
        <v>2</v>
      </c>
      <c r="P62" s="102">
        <f t="shared" si="79"/>
        <v>2</v>
      </c>
      <c r="Q62" s="102">
        <f t="shared" si="79"/>
        <v>3</v>
      </c>
      <c r="R62" s="102">
        <f t="shared" si="79"/>
        <v>1</v>
      </c>
      <c r="S62" s="102">
        <f t="shared" si="79"/>
        <v>1</v>
      </c>
      <c r="T62" s="102">
        <f t="shared" si="79"/>
        <v>1</v>
      </c>
      <c r="U62" s="102">
        <f t="shared" si="79"/>
        <v>1</v>
      </c>
      <c r="V62" s="102" t="e">
        <f t="shared" si="79"/>
        <v>#N/A</v>
      </c>
    </row>
    <row r="63" spans="1:22" s="106" customFormat="1">
      <c r="A63" s="103" t="s">
        <v>355</v>
      </c>
      <c r="B63" s="104" t="e">
        <f>B$8</f>
        <v>#N/A</v>
      </c>
      <c r="C63" s="104" t="e">
        <f t="shared" ref="C63:V63" si="80">C$8</f>
        <v>#N/A</v>
      </c>
      <c r="D63" s="104" t="e">
        <f t="shared" si="80"/>
        <v>#N/A</v>
      </c>
      <c r="E63" s="104" t="e">
        <f t="shared" si="80"/>
        <v>#N/A</v>
      </c>
      <c r="F63" s="104" t="e">
        <f t="shared" si="80"/>
        <v>#N/A</v>
      </c>
      <c r="G63" s="104" t="e">
        <f t="shared" si="80"/>
        <v>#N/A</v>
      </c>
      <c r="H63" s="104" t="e">
        <f t="shared" si="80"/>
        <v>#N/A</v>
      </c>
      <c r="I63" s="104" t="e">
        <f t="shared" si="80"/>
        <v>#N/A</v>
      </c>
      <c r="J63" s="104" t="e">
        <f t="shared" si="80"/>
        <v>#N/A</v>
      </c>
      <c r="K63" s="104" t="e">
        <f t="shared" si="80"/>
        <v>#N/A</v>
      </c>
      <c r="L63" s="104" t="e">
        <f t="shared" si="80"/>
        <v>#N/A</v>
      </c>
      <c r="M63" s="104" t="e">
        <f t="shared" si="80"/>
        <v>#N/A</v>
      </c>
      <c r="N63" s="104" t="e">
        <f t="shared" si="80"/>
        <v>#N/A</v>
      </c>
      <c r="O63" s="104" t="e">
        <f t="shared" si="80"/>
        <v>#N/A</v>
      </c>
      <c r="P63" s="104" t="e">
        <f t="shared" si="80"/>
        <v>#N/A</v>
      </c>
      <c r="Q63" s="104" t="e">
        <f t="shared" si="80"/>
        <v>#N/A</v>
      </c>
      <c r="R63" s="104" t="e">
        <f t="shared" si="80"/>
        <v>#N/A</v>
      </c>
      <c r="S63" s="104" t="e">
        <f t="shared" si="80"/>
        <v>#N/A</v>
      </c>
      <c r="T63" s="104" t="e">
        <f t="shared" si="80"/>
        <v>#N/A</v>
      </c>
      <c r="U63" s="104" t="e">
        <f t="shared" si="80"/>
        <v>#N/A</v>
      </c>
      <c r="V63" s="104" t="e">
        <f t="shared" si="80"/>
        <v>#N/A</v>
      </c>
    </row>
    <row r="64" spans="1:22" s="106" customFormat="1">
      <c r="A64" s="101" t="s">
        <v>15</v>
      </c>
      <c r="B64" s="101" t="e">
        <f t="shared" ref="B64:V64" si="81">MATCH(Facteur_limitant_sol, Classes_facteur_limitant_sol,0)</f>
        <v>#N/A</v>
      </c>
      <c r="C64" s="101" t="e">
        <f t="shared" si="81"/>
        <v>#N/A</v>
      </c>
      <c r="D64" s="101" t="e">
        <f t="shared" si="81"/>
        <v>#N/A</v>
      </c>
      <c r="E64" s="101" t="e">
        <f t="shared" si="81"/>
        <v>#N/A</v>
      </c>
      <c r="F64" s="101" t="e">
        <f t="shared" si="81"/>
        <v>#N/A</v>
      </c>
      <c r="G64" s="101" t="e">
        <f t="shared" si="81"/>
        <v>#N/A</v>
      </c>
      <c r="H64" s="101" t="e">
        <f t="shared" si="81"/>
        <v>#N/A</v>
      </c>
      <c r="I64" s="101" t="e">
        <f t="shared" si="81"/>
        <v>#N/A</v>
      </c>
      <c r="J64" s="101" t="e">
        <f t="shared" si="81"/>
        <v>#N/A</v>
      </c>
      <c r="K64" s="101" t="e">
        <f t="shared" si="81"/>
        <v>#N/A</v>
      </c>
      <c r="L64" s="101" t="e">
        <f t="shared" si="81"/>
        <v>#N/A</v>
      </c>
      <c r="M64" s="101" t="e">
        <f t="shared" si="81"/>
        <v>#N/A</v>
      </c>
      <c r="N64" s="101" t="e">
        <f t="shared" si="81"/>
        <v>#N/A</v>
      </c>
      <c r="O64" s="101" t="e">
        <f t="shared" si="81"/>
        <v>#N/A</v>
      </c>
      <c r="P64" s="101" t="e">
        <f t="shared" si="81"/>
        <v>#N/A</v>
      </c>
      <c r="Q64" s="101" t="e">
        <f t="shared" si="81"/>
        <v>#N/A</v>
      </c>
      <c r="R64" s="101" t="e">
        <f t="shared" si="81"/>
        <v>#N/A</v>
      </c>
      <c r="S64" s="101" t="e">
        <f t="shared" si="81"/>
        <v>#N/A</v>
      </c>
      <c r="T64" s="101" t="e">
        <f t="shared" si="81"/>
        <v>#N/A</v>
      </c>
      <c r="U64" s="101" t="e">
        <f t="shared" si="81"/>
        <v>#N/A</v>
      </c>
      <c r="V64" s="101" t="e">
        <f t="shared" si="81"/>
        <v>#N/A</v>
      </c>
    </row>
    <row r="65" spans="1:22" s="106" customFormat="1">
      <c r="A65" s="104" t="s">
        <v>483</v>
      </c>
      <c r="B65" s="104" t="e">
        <f t="shared" ref="B65:M65" si="82">VLOOKUP(CONCATENATE(B66,B67),RDD_regulation_microclimat,2,0)</f>
        <v>#N/A</v>
      </c>
      <c r="C65" s="104" t="e">
        <f t="shared" si="82"/>
        <v>#N/A</v>
      </c>
      <c r="D65" s="104" t="e">
        <f t="shared" si="82"/>
        <v>#N/A</v>
      </c>
      <c r="E65" s="104" t="e">
        <f t="shared" si="82"/>
        <v>#N/A</v>
      </c>
      <c r="F65" s="104" t="e">
        <f t="shared" si="82"/>
        <v>#N/A</v>
      </c>
      <c r="G65" s="104" t="e">
        <f t="shared" si="82"/>
        <v>#N/A</v>
      </c>
      <c r="H65" s="104" t="e">
        <f t="shared" si="82"/>
        <v>#N/A</v>
      </c>
      <c r="I65" s="104" t="e">
        <f t="shared" si="82"/>
        <v>#N/A</v>
      </c>
      <c r="J65" s="104" t="e">
        <f t="shared" si="82"/>
        <v>#N/A</v>
      </c>
      <c r="K65" s="104" t="e">
        <f t="shared" si="82"/>
        <v>#N/A</v>
      </c>
      <c r="L65" s="104" t="e">
        <f t="shared" si="82"/>
        <v>#N/A</v>
      </c>
      <c r="M65" s="104" t="e">
        <f t="shared" si="82"/>
        <v>#N/A</v>
      </c>
      <c r="N65" s="104" t="e">
        <f t="shared" ref="N65:V65" si="83">VLOOKUP(CONCATENATE(N66,N67),RDD_regulation_microclimat,2,0)</f>
        <v>#N/A</v>
      </c>
      <c r="O65" s="104" t="e">
        <f t="shared" si="83"/>
        <v>#N/A</v>
      </c>
      <c r="P65" s="104" t="e">
        <f t="shared" si="83"/>
        <v>#N/A</v>
      </c>
      <c r="Q65" s="104" t="e">
        <f t="shared" si="83"/>
        <v>#N/A</v>
      </c>
      <c r="R65" s="104" t="e">
        <f t="shared" si="83"/>
        <v>#N/A</v>
      </c>
      <c r="S65" s="104" t="e">
        <f t="shared" si="83"/>
        <v>#N/A</v>
      </c>
      <c r="T65" s="104" t="e">
        <f t="shared" si="83"/>
        <v>#N/A</v>
      </c>
      <c r="U65" s="104" t="e">
        <f t="shared" si="83"/>
        <v>#N/A</v>
      </c>
      <c r="V65" s="104" t="e">
        <f t="shared" si="83"/>
        <v>#N/A</v>
      </c>
    </row>
    <row r="66" spans="1:22" s="102" customFormat="1">
      <c r="A66" s="102" t="str">
        <f>INDEX(Hauteur_PS,1,A$6)</f>
        <v>Hauteur PS</v>
      </c>
      <c r="B66" s="102">
        <f t="shared" ref="B66:V66" si="84">INDEX(Hauteur_PS,1,B$6)</f>
        <v>3</v>
      </c>
      <c r="C66" s="102">
        <f t="shared" si="84"/>
        <v>3</v>
      </c>
      <c r="D66" s="102">
        <f t="shared" si="84"/>
        <v>2</v>
      </c>
      <c r="E66" s="102">
        <f t="shared" si="84"/>
        <v>2</v>
      </c>
      <c r="F66" s="102">
        <f t="shared" si="84"/>
        <v>3</v>
      </c>
      <c r="G66" s="102">
        <f t="shared" si="84"/>
        <v>2</v>
      </c>
      <c r="H66" s="102">
        <f t="shared" si="84"/>
        <v>1</v>
      </c>
      <c r="I66" s="102">
        <f t="shared" si="84"/>
        <v>2</v>
      </c>
      <c r="J66" s="102">
        <f t="shared" si="84"/>
        <v>2</v>
      </c>
      <c r="K66" s="102">
        <f t="shared" si="84"/>
        <v>3</v>
      </c>
      <c r="L66" s="102">
        <f t="shared" si="84"/>
        <v>3</v>
      </c>
      <c r="M66" s="102">
        <f t="shared" si="84"/>
        <v>3</v>
      </c>
      <c r="N66" s="102">
        <f t="shared" si="84"/>
        <v>2</v>
      </c>
      <c r="O66" s="102">
        <f t="shared" si="84"/>
        <v>2</v>
      </c>
      <c r="P66" s="102">
        <f t="shared" si="84"/>
        <v>2</v>
      </c>
      <c r="Q66" s="102">
        <f t="shared" si="84"/>
        <v>3</v>
      </c>
      <c r="R66" s="102">
        <f t="shared" si="84"/>
        <v>2</v>
      </c>
      <c r="S66" s="102">
        <f t="shared" si="84"/>
        <v>1</v>
      </c>
      <c r="T66" s="102">
        <f t="shared" si="84"/>
        <v>2</v>
      </c>
      <c r="U66" s="102">
        <f t="shared" si="84"/>
        <v>2</v>
      </c>
      <c r="V66" s="102" t="e">
        <f t="shared" si="84"/>
        <v>#N/A</v>
      </c>
    </row>
    <row r="67" spans="1:22" s="106" customFormat="1">
      <c r="A67" s="103" t="s">
        <v>355</v>
      </c>
      <c r="B67" s="104" t="e">
        <f>B$8</f>
        <v>#N/A</v>
      </c>
      <c r="C67" s="104" t="e">
        <f t="shared" ref="C67:V67" si="85">C$8</f>
        <v>#N/A</v>
      </c>
      <c r="D67" s="104" t="e">
        <f t="shared" si="85"/>
        <v>#N/A</v>
      </c>
      <c r="E67" s="104" t="e">
        <f t="shared" si="85"/>
        <v>#N/A</v>
      </c>
      <c r="F67" s="104" t="e">
        <f t="shared" si="85"/>
        <v>#N/A</v>
      </c>
      <c r="G67" s="104" t="e">
        <f t="shared" si="85"/>
        <v>#N/A</v>
      </c>
      <c r="H67" s="104" t="e">
        <f t="shared" si="85"/>
        <v>#N/A</v>
      </c>
      <c r="I67" s="104" t="e">
        <f t="shared" si="85"/>
        <v>#N/A</v>
      </c>
      <c r="J67" s="104" t="e">
        <f t="shared" si="85"/>
        <v>#N/A</v>
      </c>
      <c r="K67" s="104" t="e">
        <f t="shared" si="85"/>
        <v>#N/A</v>
      </c>
      <c r="L67" s="104" t="e">
        <f t="shared" si="85"/>
        <v>#N/A</v>
      </c>
      <c r="M67" s="104" t="e">
        <f t="shared" si="85"/>
        <v>#N/A</v>
      </c>
      <c r="N67" s="104" t="e">
        <f t="shared" si="85"/>
        <v>#N/A</v>
      </c>
      <c r="O67" s="104" t="e">
        <f t="shared" si="85"/>
        <v>#N/A</v>
      </c>
      <c r="P67" s="104" t="e">
        <f t="shared" si="85"/>
        <v>#N/A</v>
      </c>
      <c r="Q67" s="104" t="e">
        <f t="shared" si="85"/>
        <v>#N/A</v>
      </c>
      <c r="R67" s="104" t="e">
        <f t="shared" si="85"/>
        <v>#N/A</v>
      </c>
      <c r="S67" s="104" t="e">
        <f t="shared" si="85"/>
        <v>#N/A</v>
      </c>
      <c r="T67" s="104" t="e">
        <f t="shared" si="85"/>
        <v>#N/A</v>
      </c>
      <c r="U67" s="104" t="e">
        <f t="shared" si="85"/>
        <v>#N/A</v>
      </c>
      <c r="V67" s="104" t="e">
        <f t="shared" si="85"/>
        <v>#N/A</v>
      </c>
    </row>
    <row r="68" spans="1:22" s="106" customFormat="1">
      <c r="A68" s="104" t="s">
        <v>481</v>
      </c>
      <c r="B68" s="104" t="e">
        <f t="shared" ref="B68:M68" si="86">VLOOKUP(CONCATENATE(B69,B70),RDD_augmentation_mineralisation_sol,2,0)</f>
        <v>#N/A</v>
      </c>
      <c r="C68" s="104" t="e">
        <f t="shared" si="86"/>
        <v>#N/A</v>
      </c>
      <c r="D68" s="104" t="e">
        <f t="shared" si="86"/>
        <v>#N/A</v>
      </c>
      <c r="E68" s="104" t="e">
        <f t="shared" si="86"/>
        <v>#N/A</v>
      </c>
      <c r="F68" s="104" t="e">
        <f t="shared" si="86"/>
        <v>#N/A</v>
      </c>
      <c r="G68" s="104" t="e">
        <f t="shared" si="86"/>
        <v>#N/A</v>
      </c>
      <c r="H68" s="104" t="e">
        <f t="shared" si="86"/>
        <v>#N/A</v>
      </c>
      <c r="I68" s="104" t="e">
        <f t="shared" si="86"/>
        <v>#N/A</v>
      </c>
      <c r="J68" s="104" t="e">
        <f t="shared" si="86"/>
        <v>#N/A</v>
      </c>
      <c r="K68" s="104" t="e">
        <f t="shared" si="86"/>
        <v>#N/A</v>
      </c>
      <c r="L68" s="104" t="e">
        <f t="shared" si="86"/>
        <v>#N/A</v>
      </c>
      <c r="M68" s="104" t="e">
        <f t="shared" si="86"/>
        <v>#N/A</v>
      </c>
      <c r="N68" s="104" t="e">
        <f t="shared" ref="N68:V68" si="87">VLOOKUP(CONCATENATE(N69,N70),RDD_augmentation_mineralisation_sol,2,0)</f>
        <v>#N/A</v>
      </c>
      <c r="O68" s="104" t="e">
        <f t="shared" si="87"/>
        <v>#N/A</v>
      </c>
      <c r="P68" s="104" t="e">
        <f t="shared" si="87"/>
        <v>#N/A</v>
      </c>
      <c r="Q68" s="104" t="e">
        <f t="shared" si="87"/>
        <v>#N/A</v>
      </c>
      <c r="R68" s="104" t="e">
        <f t="shared" si="87"/>
        <v>#N/A</v>
      </c>
      <c r="S68" s="104" t="e">
        <f t="shared" si="87"/>
        <v>#N/A</v>
      </c>
      <c r="T68" s="104" t="e">
        <f t="shared" si="87"/>
        <v>#N/A</v>
      </c>
      <c r="U68" s="104" t="e">
        <f t="shared" si="87"/>
        <v>#N/A</v>
      </c>
      <c r="V68" s="104" t="e">
        <f t="shared" si="87"/>
        <v>#N/A</v>
      </c>
    </row>
    <row r="69" spans="1:22" s="106" customFormat="1">
      <c r="A69" s="102" t="str">
        <f t="shared" ref="A69:V69" si="88">INDEX(Biomasse_morte_contact_sol_PS,1,A$6)</f>
        <v>Biomasse PS morte en contact au sol</v>
      </c>
      <c r="B69" s="102">
        <f t="shared" si="88"/>
        <v>3</v>
      </c>
      <c r="C69" s="102">
        <f t="shared" si="88"/>
        <v>3</v>
      </c>
      <c r="D69" s="102">
        <f t="shared" si="88"/>
        <v>2</v>
      </c>
      <c r="E69" s="102">
        <f t="shared" si="88"/>
        <v>1</v>
      </c>
      <c r="F69" s="102">
        <f t="shared" si="88"/>
        <v>1</v>
      </c>
      <c r="G69" s="102">
        <f t="shared" si="88"/>
        <v>3</v>
      </c>
      <c r="H69" s="102">
        <f t="shared" si="88"/>
        <v>3</v>
      </c>
      <c r="I69" s="102">
        <f t="shared" si="88"/>
        <v>1</v>
      </c>
      <c r="J69" s="102">
        <f t="shared" si="88"/>
        <v>1</v>
      </c>
      <c r="K69" s="102">
        <f t="shared" si="88"/>
        <v>3</v>
      </c>
      <c r="L69" s="102">
        <f t="shared" si="88"/>
        <v>3</v>
      </c>
      <c r="M69" s="102">
        <f t="shared" si="88"/>
        <v>1</v>
      </c>
      <c r="N69" s="102">
        <f t="shared" si="88"/>
        <v>2</v>
      </c>
      <c r="O69" s="102">
        <f t="shared" si="88"/>
        <v>3</v>
      </c>
      <c r="P69" s="102">
        <f t="shared" si="88"/>
        <v>2</v>
      </c>
      <c r="Q69" s="102">
        <f t="shared" si="88"/>
        <v>2</v>
      </c>
      <c r="R69" s="102">
        <f t="shared" si="88"/>
        <v>2</v>
      </c>
      <c r="S69" s="102">
        <f t="shared" si="88"/>
        <v>3</v>
      </c>
      <c r="T69" s="102">
        <f t="shared" si="88"/>
        <v>3</v>
      </c>
      <c r="U69" s="102">
        <f t="shared" si="88"/>
        <v>3</v>
      </c>
      <c r="V69" s="102" t="e">
        <f t="shared" si="88"/>
        <v>#N/A</v>
      </c>
    </row>
    <row r="70" spans="1:22" s="106" customFormat="1">
      <c r="A70" s="103" t="s">
        <v>355</v>
      </c>
      <c r="B70" s="104" t="e">
        <f>B$8</f>
        <v>#N/A</v>
      </c>
      <c r="C70" s="104" t="e">
        <f t="shared" ref="C70:V70" si="89">C$8</f>
        <v>#N/A</v>
      </c>
      <c r="D70" s="104" t="e">
        <f t="shared" si="89"/>
        <v>#N/A</v>
      </c>
      <c r="E70" s="104" t="e">
        <f t="shared" si="89"/>
        <v>#N/A</v>
      </c>
      <c r="F70" s="104" t="e">
        <f t="shared" si="89"/>
        <v>#N/A</v>
      </c>
      <c r="G70" s="104" t="e">
        <f t="shared" si="89"/>
        <v>#N/A</v>
      </c>
      <c r="H70" s="104" t="e">
        <f t="shared" si="89"/>
        <v>#N/A</v>
      </c>
      <c r="I70" s="104" t="e">
        <f t="shared" si="89"/>
        <v>#N/A</v>
      </c>
      <c r="J70" s="104" t="e">
        <f t="shared" si="89"/>
        <v>#N/A</v>
      </c>
      <c r="K70" s="104" t="e">
        <f t="shared" si="89"/>
        <v>#N/A</v>
      </c>
      <c r="L70" s="104" t="e">
        <f t="shared" si="89"/>
        <v>#N/A</v>
      </c>
      <c r="M70" s="104" t="e">
        <f t="shared" si="89"/>
        <v>#N/A</v>
      </c>
      <c r="N70" s="104" t="e">
        <f t="shared" si="89"/>
        <v>#N/A</v>
      </c>
      <c r="O70" s="104" t="e">
        <f t="shared" si="89"/>
        <v>#N/A</v>
      </c>
      <c r="P70" s="104" t="e">
        <f t="shared" si="89"/>
        <v>#N/A</v>
      </c>
      <c r="Q70" s="104" t="e">
        <f t="shared" si="89"/>
        <v>#N/A</v>
      </c>
      <c r="R70" s="104" t="e">
        <f t="shared" si="89"/>
        <v>#N/A</v>
      </c>
      <c r="S70" s="104" t="e">
        <f t="shared" si="89"/>
        <v>#N/A</v>
      </c>
      <c r="T70" s="104" t="e">
        <f t="shared" si="89"/>
        <v>#N/A</v>
      </c>
      <c r="U70" s="104" t="e">
        <f t="shared" si="89"/>
        <v>#N/A</v>
      </c>
      <c r="V70" s="104" t="e">
        <f t="shared" si="89"/>
        <v>#N/A</v>
      </c>
    </row>
    <row r="71" spans="1:22" s="106" customFormat="1">
      <c r="A71" s="123" t="s">
        <v>479</v>
      </c>
      <c r="B71" s="104" t="e">
        <f t="shared" ref="B71:M71" si="90">VLOOKUP(CONCATENATE(B72,B73),RDD_detourner_limaces,2,0)</f>
        <v>#N/A</v>
      </c>
      <c r="C71" s="104" t="e">
        <f t="shared" si="90"/>
        <v>#N/A</v>
      </c>
      <c r="D71" s="104" t="e">
        <f t="shared" si="90"/>
        <v>#N/A</v>
      </c>
      <c r="E71" s="104" t="e">
        <f t="shared" si="90"/>
        <v>#N/A</v>
      </c>
      <c r="F71" s="104" t="e">
        <f t="shared" si="90"/>
        <v>#N/A</v>
      </c>
      <c r="G71" s="104" t="e">
        <f t="shared" si="90"/>
        <v>#N/A</v>
      </c>
      <c r="H71" s="104" t="e">
        <f t="shared" si="90"/>
        <v>#N/A</v>
      </c>
      <c r="I71" s="104" t="e">
        <f t="shared" si="90"/>
        <v>#N/A</v>
      </c>
      <c r="J71" s="104" t="e">
        <f t="shared" si="90"/>
        <v>#N/A</v>
      </c>
      <c r="K71" s="104" t="e">
        <f t="shared" si="90"/>
        <v>#N/A</v>
      </c>
      <c r="L71" s="104" t="e">
        <f t="shared" si="90"/>
        <v>#N/A</v>
      </c>
      <c r="M71" s="104" t="e">
        <f t="shared" si="90"/>
        <v>#N/A</v>
      </c>
      <c r="N71" s="104" t="e">
        <f t="shared" ref="N71:V71" si="91">VLOOKUP(CONCATENATE(N72,N73),RDD_detourner_limaces,2,0)</f>
        <v>#N/A</v>
      </c>
      <c r="O71" s="104" t="e">
        <f t="shared" si="91"/>
        <v>#N/A</v>
      </c>
      <c r="P71" s="104" t="e">
        <f t="shared" si="91"/>
        <v>#N/A</v>
      </c>
      <c r="Q71" s="104" t="e">
        <f t="shared" si="91"/>
        <v>#N/A</v>
      </c>
      <c r="R71" s="104" t="e">
        <f t="shared" si="91"/>
        <v>#N/A</v>
      </c>
      <c r="S71" s="104" t="e">
        <f t="shared" si="91"/>
        <v>#N/A</v>
      </c>
      <c r="T71" s="104" t="e">
        <f t="shared" si="91"/>
        <v>#N/A</v>
      </c>
      <c r="U71" s="104" t="e">
        <f t="shared" si="91"/>
        <v>#N/A</v>
      </c>
      <c r="V71" s="104" t="e">
        <f t="shared" si="91"/>
        <v>#N/A</v>
      </c>
    </row>
    <row r="72" spans="1:22" s="102" customFormat="1">
      <c r="A72" s="102" t="s">
        <v>345</v>
      </c>
      <c r="B72" s="102">
        <f t="shared" ref="B72:V72" si="92">INDEX(Appetence_limaces_PS,1,B$6)</f>
        <v>3</v>
      </c>
      <c r="C72" s="102">
        <f t="shared" si="92"/>
        <v>3</v>
      </c>
      <c r="D72" s="102">
        <f t="shared" si="92"/>
        <v>2</v>
      </c>
      <c r="E72" s="102">
        <f t="shared" si="92"/>
        <v>2</v>
      </c>
      <c r="F72" s="102">
        <f t="shared" si="92"/>
        <v>2</v>
      </c>
      <c r="G72" s="102">
        <f t="shared" si="92"/>
        <v>2</v>
      </c>
      <c r="H72" s="102">
        <f t="shared" si="92"/>
        <v>2</v>
      </c>
      <c r="I72" s="102">
        <f t="shared" si="92"/>
        <v>3</v>
      </c>
      <c r="J72" s="102">
        <f t="shared" si="92"/>
        <v>2</v>
      </c>
      <c r="K72" s="102">
        <f t="shared" si="92"/>
        <v>3</v>
      </c>
      <c r="L72" s="102">
        <f t="shared" si="92"/>
        <v>1</v>
      </c>
      <c r="M72" s="102">
        <f t="shared" si="92"/>
        <v>2</v>
      </c>
      <c r="N72" s="102">
        <f t="shared" si="92"/>
        <v>2</v>
      </c>
      <c r="O72" s="102">
        <f t="shared" si="92"/>
        <v>2</v>
      </c>
      <c r="P72" s="102">
        <f t="shared" si="92"/>
        <v>3</v>
      </c>
      <c r="Q72" s="102">
        <f t="shared" si="92"/>
        <v>1</v>
      </c>
      <c r="R72" s="102">
        <f t="shared" si="92"/>
        <v>1</v>
      </c>
      <c r="S72" s="102">
        <f t="shared" si="92"/>
        <v>3</v>
      </c>
      <c r="T72" s="102">
        <f t="shared" si="92"/>
        <v>2</v>
      </c>
      <c r="U72" s="102">
        <f t="shared" si="92"/>
        <v>2</v>
      </c>
      <c r="V72" s="102" t="e">
        <f t="shared" si="92"/>
        <v>#N/A</v>
      </c>
    </row>
    <row r="73" spans="1:22" s="106" customFormat="1">
      <c r="A73" s="101" t="s">
        <v>435</v>
      </c>
      <c r="B73" s="101" t="e">
        <f t="shared" ref="B73:V73" si="93">MATCH(Risque_limaces_parcelle,Classes_risque_Limaces_Parcelle,0)</f>
        <v>#N/A</v>
      </c>
      <c r="C73" s="101" t="e">
        <f t="shared" si="93"/>
        <v>#N/A</v>
      </c>
      <c r="D73" s="101" t="e">
        <f t="shared" si="93"/>
        <v>#N/A</v>
      </c>
      <c r="E73" s="101" t="e">
        <f t="shared" si="93"/>
        <v>#N/A</v>
      </c>
      <c r="F73" s="101" t="e">
        <f t="shared" si="93"/>
        <v>#N/A</v>
      </c>
      <c r="G73" s="101" t="e">
        <f t="shared" si="93"/>
        <v>#N/A</v>
      </c>
      <c r="H73" s="101" t="e">
        <f t="shared" si="93"/>
        <v>#N/A</v>
      </c>
      <c r="I73" s="101" t="e">
        <f t="shared" si="93"/>
        <v>#N/A</v>
      </c>
      <c r="J73" s="101" t="e">
        <f t="shared" si="93"/>
        <v>#N/A</v>
      </c>
      <c r="K73" s="101" t="e">
        <f t="shared" si="93"/>
        <v>#N/A</v>
      </c>
      <c r="L73" s="101" t="e">
        <f t="shared" si="93"/>
        <v>#N/A</v>
      </c>
      <c r="M73" s="101" t="e">
        <f t="shared" si="93"/>
        <v>#N/A</v>
      </c>
      <c r="N73" s="101" t="e">
        <f t="shared" si="93"/>
        <v>#N/A</v>
      </c>
      <c r="O73" s="101" t="e">
        <f t="shared" si="93"/>
        <v>#N/A</v>
      </c>
      <c r="P73" s="101" t="e">
        <f t="shared" si="93"/>
        <v>#N/A</v>
      </c>
      <c r="Q73" s="101" t="e">
        <f t="shared" si="93"/>
        <v>#N/A</v>
      </c>
      <c r="R73" s="101" t="e">
        <f t="shared" si="93"/>
        <v>#N/A</v>
      </c>
      <c r="S73" s="101" t="e">
        <f t="shared" si="93"/>
        <v>#N/A</v>
      </c>
      <c r="T73" s="101" t="e">
        <f t="shared" si="93"/>
        <v>#N/A</v>
      </c>
      <c r="U73" s="101" t="e">
        <f t="shared" si="93"/>
        <v>#N/A</v>
      </c>
      <c r="V73" s="101" t="e">
        <f t="shared" si="93"/>
        <v>#N/A</v>
      </c>
    </row>
    <row r="74" spans="1:22" s="106" customFormat="1">
      <c r="A74" s="123" t="s">
        <v>477</v>
      </c>
      <c r="B74" s="104" t="e">
        <f t="shared" ref="B74:M74" si="94">VLOOKUP(CONCATENATE(B75,B76,B77),RDD_perturber_insectes_automne,2,0)</f>
        <v>#N/A</v>
      </c>
      <c r="C74" s="104" t="e">
        <f t="shared" si="94"/>
        <v>#N/A</v>
      </c>
      <c r="D74" s="104" t="e">
        <f t="shared" si="94"/>
        <v>#N/A</v>
      </c>
      <c r="E74" s="104" t="e">
        <f t="shared" si="94"/>
        <v>#N/A</v>
      </c>
      <c r="F74" s="104" t="e">
        <f t="shared" si="94"/>
        <v>#N/A</v>
      </c>
      <c r="G74" s="104" t="e">
        <f t="shared" si="94"/>
        <v>#N/A</v>
      </c>
      <c r="H74" s="104" t="e">
        <f t="shared" si="94"/>
        <v>#N/A</v>
      </c>
      <c r="I74" s="104" t="e">
        <f t="shared" si="94"/>
        <v>#N/A</v>
      </c>
      <c r="J74" s="104" t="e">
        <f t="shared" si="94"/>
        <v>#N/A</v>
      </c>
      <c r="K74" s="104" t="e">
        <f t="shared" si="94"/>
        <v>#N/A</v>
      </c>
      <c r="L74" s="104" t="e">
        <f t="shared" si="94"/>
        <v>#N/A</v>
      </c>
      <c r="M74" s="104" t="e">
        <f t="shared" si="94"/>
        <v>#N/A</v>
      </c>
      <c r="N74" s="104" t="e">
        <f t="shared" ref="N74:V74" si="95">VLOOKUP(CONCATENATE(N75,N76,N77),RDD_perturber_insectes_automne,2,0)</f>
        <v>#N/A</v>
      </c>
      <c r="O74" s="104" t="e">
        <f t="shared" si="95"/>
        <v>#N/A</v>
      </c>
      <c r="P74" s="104" t="e">
        <f t="shared" si="95"/>
        <v>#N/A</v>
      </c>
      <c r="Q74" s="104" t="e">
        <f t="shared" si="95"/>
        <v>#N/A</v>
      </c>
      <c r="R74" s="104" t="e">
        <f t="shared" si="95"/>
        <v>#N/A</v>
      </c>
      <c r="S74" s="104" t="e">
        <f t="shared" si="95"/>
        <v>#N/A</v>
      </c>
      <c r="T74" s="104" t="e">
        <f t="shared" si="95"/>
        <v>#N/A</v>
      </c>
      <c r="U74" s="104" t="e">
        <f t="shared" si="95"/>
        <v>#N/A</v>
      </c>
      <c r="V74" s="104" t="e">
        <f t="shared" si="95"/>
        <v>#N/A</v>
      </c>
    </row>
    <row r="75" spans="1:22" s="102" customFormat="1">
      <c r="A75" s="102" t="str">
        <f>INDEX(Hauteur_PS,1,A$6)</f>
        <v>Hauteur PS</v>
      </c>
      <c r="B75" s="102">
        <f t="shared" ref="B75:V75" si="96">INDEX(Hauteur_PS,1,B$6)</f>
        <v>3</v>
      </c>
      <c r="C75" s="102">
        <f t="shared" si="96"/>
        <v>3</v>
      </c>
      <c r="D75" s="102">
        <f t="shared" si="96"/>
        <v>2</v>
      </c>
      <c r="E75" s="102">
        <f t="shared" si="96"/>
        <v>2</v>
      </c>
      <c r="F75" s="102">
        <f t="shared" si="96"/>
        <v>3</v>
      </c>
      <c r="G75" s="102">
        <f t="shared" si="96"/>
        <v>2</v>
      </c>
      <c r="H75" s="102">
        <f t="shared" si="96"/>
        <v>1</v>
      </c>
      <c r="I75" s="102">
        <f t="shared" si="96"/>
        <v>2</v>
      </c>
      <c r="J75" s="102">
        <f t="shared" si="96"/>
        <v>2</v>
      </c>
      <c r="K75" s="102">
        <f t="shared" si="96"/>
        <v>3</v>
      </c>
      <c r="L75" s="102">
        <f t="shared" si="96"/>
        <v>3</v>
      </c>
      <c r="M75" s="102">
        <f t="shared" si="96"/>
        <v>3</v>
      </c>
      <c r="N75" s="102">
        <f t="shared" si="96"/>
        <v>2</v>
      </c>
      <c r="O75" s="102">
        <f t="shared" si="96"/>
        <v>2</v>
      </c>
      <c r="P75" s="102">
        <f t="shared" si="96"/>
        <v>2</v>
      </c>
      <c r="Q75" s="102">
        <f t="shared" si="96"/>
        <v>3</v>
      </c>
      <c r="R75" s="102">
        <f t="shared" si="96"/>
        <v>2</v>
      </c>
      <c r="S75" s="102">
        <f t="shared" si="96"/>
        <v>1</v>
      </c>
      <c r="T75" s="102">
        <f t="shared" si="96"/>
        <v>2</v>
      </c>
      <c r="U75" s="102">
        <f t="shared" si="96"/>
        <v>2</v>
      </c>
      <c r="V75" s="102" t="e">
        <f t="shared" si="96"/>
        <v>#N/A</v>
      </c>
    </row>
    <row r="76" spans="1:22" s="106" customFormat="1">
      <c r="A76" s="102" t="str">
        <f t="shared" ref="A76:V76" si="97">INDEX(Odeur_PS,1,A$6)</f>
        <v>Odeur PS</v>
      </c>
      <c r="B76" s="102">
        <f t="shared" si="97"/>
        <v>1</v>
      </c>
      <c r="C76" s="102">
        <f t="shared" si="97"/>
        <v>1</v>
      </c>
      <c r="D76" s="102">
        <f t="shared" si="97"/>
        <v>1</v>
      </c>
      <c r="E76" s="102">
        <f t="shared" si="97"/>
        <v>2</v>
      </c>
      <c r="F76" s="102">
        <f t="shared" si="97"/>
        <v>1</v>
      </c>
      <c r="G76" s="102">
        <f t="shared" si="97"/>
        <v>1</v>
      </c>
      <c r="H76" s="102">
        <f t="shared" si="97"/>
        <v>1</v>
      </c>
      <c r="I76" s="102">
        <f t="shared" si="97"/>
        <v>1</v>
      </c>
      <c r="J76" s="102">
        <f t="shared" si="97"/>
        <v>1</v>
      </c>
      <c r="K76" s="102">
        <f t="shared" si="97"/>
        <v>2</v>
      </c>
      <c r="L76" s="102">
        <f t="shared" si="97"/>
        <v>1</v>
      </c>
      <c r="M76" s="102">
        <f t="shared" si="97"/>
        <v>1</v>
      </c>
      <c r="N76" s="102">
        <f t="shared" si="97"/>
        <v>1</v>
      </c>
      <c r="O76" s="102">
        <f t="shared" si="97"/>
        <v>1</v>
      </c>
      <c r="P76" s="102">
        <f t="shared" si="97"/>
        <v>1</v>
      </c>
      <c r="Q76" s="102">
        <f t="shared" si="97"/>
        <v>1</v>
      </c>
      <c r="R76" s="102">
        <f t="shared" si="97"/>
        <v>1</v>
      </c>
      <c r="S76" s="102">
        <f t="shared" si="97"/>
        <v>1</v>
      </c>
      <c r="T76" s="102">
        <f t="shared" si="97"/>
        <v>1</v>
      </c>
      <c r="U76" s="102">
        <f t="shared" si="97"/>
        <v>1</v>
      </c>
      <c r="V76" s="102" t="e">
        <f t="shared" si="97"/>
        <v>#N/A</v>
      </c>
    </row>
    <row r="77" spans="1:22" s="106" customFormat="1">
      <c r="A77" s="103" t="s">
        <v>355</v>
      </c>
      <c r="B77" s="104" t="e">
        <f>B$8</f>
        <v>#N/A</v>
      </c>
      <c r="C77" s="104" t="e">
        <f t="shared" ref="C77:V77" si="98">C$8</f>
        <v>#N/A</v>
      </c>
      <c r="D77" s="104" t="e">
        <f t="shared" si="98"/>
        <v>#N/A</v>
      </c>
      <c r="E77" s="104" t="e">
        <f t="shared" si="98"/>
        <v>#N/A</v>
      </c>
      <c r="F77" s="104" t="e">
        <f t="shared" si="98"/>
        <v>#N/A</v>
      </c>
      <c r="G77" s="104" t="e">
        <f t="shared" si="98"/>
        <v>#N/A</v>
      </c>
      <c r="H77" s="104" t="e">
        <f t="shared" si="98"/>
        <v>#N/A</v>
      </c>
      <c r="I77" s="104" t="e">
        <f t="shared" si="98"/>
        <v>#N/A</v>
      </c>
      <c r="J77" s="104" t="e">
        <f t="shared" si="98"/>
        <v>#N/A</v>
      </c>
      <c r="K77" s="104" t="e">
        <f t="shared" si="98"/>
        <v>#N/A</v>
      </c>
      <c r="L77" s="104" t="e">
        <f t="shared" si="98"/>
        <v>#N/A</v>
      </c>
      <c r="M77" s="104" t="e">
        <f t="shared" si="98"/>
        <v>#N/A</v>
      </c>
      <c r="N77" s="104" t="e">
        <f t="shared" si="98"/>
        <v>#N/A</v>
      </c>
      <c r="O77" s="104" t="e">
        <f t="shared" si="98"/>
        <v>#N/A</v>
      </c>
      <c r="P77" s="104" t="e">
        <f t="shared" si="98"/>
        <v>#N/A</v>
      </c>
      <c r="Q77" s="104" t="e">
        <f t="shared" si="98"/>
        <v>#N/A</v>
      </c>
      <c r="R77" s="104" t="e">
        <f t="shared" si="98"/>
        <v>#N/A</v>
      </c>
      <c r="S77" s="104" t="e">
        <f t="shared" si="98"/>
        <v>#N/A</v>
      </c>
      <c r="T77" s="104" t="e">
        <f t="shared" si="98"/>
        <v>#N/A</v>
      </c>
      <c r="U77" s="104" t="e">
        <f t="shared" si="98"/>
        <v>#N/A</v>
      </c>
      <c r="V77" s="104" t="e">
        <f t="shared" si="98"/>
        <v>#N/A</v>
      </c>
    </row>
    <row r="78" spans="1:22" s="106" customFormat="1">
      <c r="A78" s="123" t="s">
        <v>71</v>
      </c>
      <c r="B78" s="104" t="e">
        <f t="shared" ref="B78:M78" si="99">VLOOKUP(CONCATENATE(B79,B82),RDD_favoriser_auxiliaires,2,0)</f>
        <v>#N/A</v>
      </c>
      <c r="C78" s="104" t="e">
        <f t="shared" si="99"/>
        <v>#N/A</v>
      </c>
      <c r="D78" s="104" t="e">
        <f t="shared" si="99"/>
        <v>#N/A</v>
      </c>
      <c r="E78" s="104" t="e">
        <f t="shared" si="99"/>
        <v>#N/A</v>
      </c>
      <c r="F78" s="104" t="e">
        <f t="shared" si="99"/>
        <v>#N/A</v>
      </c>
      <c r="G78" s="104" t="e">
        <f t="shared" si="99"/>
        <v>#N/A</v>
      </c>
      <c r="H78" s="104" t="e">
        <f t="shared" si="99"/>
        <v>#N/A</v>
      </c>
      <c r="I78" s="104" t="e">
        <f t="shared" si="99"/>
        <v>#N/A</v>
      </c>
      <c r="J78" s="104" t="e">
        <f t="shared" si="99"/>
        <v>#N/A</v>
      </c>
      <c r="K78" s="104" t="e">
        <f t="shared" si="99"/>
        <v>#N/A</v>
      </c>
      <c r="L78" s="104" t="e">
        <f t="shared" si="99"/>
        <v>#N/A</v>
      </c>
      <c r="M78" s="104" t="e">
        <f t="shared" si="99"/>
        <v>#N/A</v>
      </c>
      <c r="N78" s="104" t="e">
        <f t="shared" ref="N78:V78" si="100">VLOOKUP(CONCATENATE(N79,N82),RDD_favoriser_auxiliaires,2,0)</f>
        <v>#N/A</v>
      </c>
      <c r="O78" s="104" t="e">
        <f t="shared" si="100"/>
        <v>#N/A</v>
      </c>
      <c r="P78" s="104" t="e">
        <f t="shared" si="100"/>
        <v>#N/A</v>
      </c>
      <c r="Q78" s="104" t="e">
        <f t="shared" si="100"/>
        <v>#N/A</v>
      </c>
      <c r="R78" s="104" t="e">
        <f t="shared" si="100"/>
        <v>#N/A</v>
      </c>
      <c r="S78" s="104" t="e">
        <f t="shared" si="100"/>
        <v>#N/A</v>
      </c>
      <c r="T78" s="104" t="e">
        <f t="shared" si="100"/>
        <v>#N/A</v>
      </c>
      <c r="U78" s="104" t="e">
        <f t="shared" si="100"/>
        <v>#N/A</v>
      </c>
      <c r="V78" s="104" t="e">
        <f t="shared" si="100"/>
        <v>#N/A</v>
      </c>
    </row>
    <row r="79" spans="1:22" s="106" customFormat="1">
      <c r="A79" s="104" t="s">
        <v>473</v>
      </c>
      <c r="B79" s="104">
        <f t="shared" ref="B79:K79" si="101">VLOOKUP(CONCATENATE(B80,B81),RDD_auxiliaire_volant,2,0)</f>
        <v>2</v>
      </c>
      <c r="C79" s="104">
        <f t="shared" si="101"/>
        <v>2</v>
      </c>
      <c r="D79" s="104">
        <f t="shared" si="101"/>
        <v>2</v>
      </c>
      <c r="E79" s="104">
        <f t="shared" si="101"/>
        <v>2</v>
      </c>
      <c r="F79" s="104">
        <f t="shared" si="101"/>
        <v>3</v>
      </c>
      <c r="G79" s="104">
        <f t="shared" si="101"/>
        <v>2</v>
      </c>
      <c r="H79" s="104">
        <f t="shared" si="101"/>
        <v>2</v>
      </c>
      <c r="I79" s="104">
        <f t="shared" si="101"/>
        <v>2</v>
      </c>
      <c r="J79" s="104">
        <f t="shared" si="101"/>
        <v>2</v>
      </c>
      <c r="K79" s="104">
        <f t="shared" si="101"/>
        <v>2</v>
      </c>
      <c r="L79" s="104">
        <f t="shared" ref="L79:V79" si="102">VLOOKUP(CONCATENATE(L80,L81),RDD_auxiliaire_volant,2,0)</f>
        <v>2</v>
      </c>
      <c r="M79" s="104">
        <f t="shared" si="102"/>
        <v>2</v>
      </c>
      <c r="N79" s="104">
        <f t="shared" si="102"/>
        <v>2</v>
      </c>
      <c r="O79" s="104">
        <f t="shared" si="102"/>
        <v>2</v>
      </c>
      <c r="P79" s="104">
        <f t="shared" si="102"/>
        <v>2</v>
      </c>
      <c r="Q79" s="104">
        <f t="shared" si="102"/>
        <v>2</v>
      </c>
      <c r="R79" s="104">
        <f t="shared" si="102"/>
        <v>2</v>
      </c>
      <c r="S79" s="104">
        <f t="shared" si="102"/>
        <v>1</v>
      </c>
      <c r="T79" s="104">
        <f t="shared" si="102"/>
        <v>3</v>
      </c>
      <c r="U79" s="104">
        <f t="shared" si="102"/>
        <v>2</v>
      </c>
      <c r="V79" s="104" t="e">
        <f t="shared" si="102"/>
        <v>#N/A</v>
      </c>
    </row>
    <row r="80" spans="1:22" s="106" customFormat="1">
      <c r="A80" s="102" t="str">
        <f t="shared" ref="A80:V80" si="103">INDEX(Precocite_PS,1,A$6)</f>
        <v>Precocite PS</v>
      </c>
      <c r="B80" s="102">
        <f t="shared" si="103"/>
        <v>2</v>
      </c>
      <c r="C80" s="102">
        <f t="shared" si="103"/>
        <v>2</v>
      </c>
      <c r="D80" s="102">
        <f t="shared" si="103"/>
        <v>3</v>
      </c>
      <c r="E80" s="102">
        <f t="shared" si="103"/>
        <v>2</v>
      </c>
      <c r="F80" s="102">
        <f t="shared" si="103"/>
        <v>3</v>
      </c>
      <c r="G80" s="102">
        <f t="shared" si="103"/>
        <v>2</v>
      </c>
      <c r="H80" s="102">
        <f t="shared" si="103"/>
        <v>3</v>
      </c>
      <c r="I80" s="102">
        <f t="shared" si="103"/>
        <v>3</v>
      </c>
      <c r="J80" s="102">
        <f t="shared" si="103"/>
        <v>3</v>
      </c>
      <c r="K80" s="102">
        <f t="shared" si="103"/>
        <v>3</v>
      </c>
      <c r="L80" s="102">
        <f t="shared" si="103"/>
        <v>3</v>
      </c>
      <c r="M80" s="102">
        <f t="shared" si="103"/>
        <v>3</v>
      </c>
      <c r="N80" s="102">
        <f t="shared" si="103"/>
        <v>3</v>
      </c>
      <c r="O80" s="102">
        <f t="shared" si="103"/>
        <v>2</v>
      </c>
      <c r="P80" s="102">
        <f t="shared" si="103"/>
        <v>3</v>
      </c>
      <c r="Q80" s="102">
        <f t="shared" si="103"/>
        <v>2</v>
      </c>
      <c r="R80" s="102">
        <f t="shared" si="103"/>
        <v>3</v>
      </c>
      <c r="S80" s="102">
        <f t="shared" si="103"/>
        <v>1</v>
      </c>
      <c r="T80" s="102">
        <f t="shared" si="103"/>
        <v>3</v>
      </c>
      <c r="U80" s="102">
        <f t="shared" si="103"/>
        <v>3</v>
      </c>
      <c r="V80" s="102" t="e">
        <f t="shared" si="103"/>
        <v>#N/A</v>
      </c>
    </row>
    <row r="81" spans="1:22" s="106" customFormat="1">
      <c r="A81" s="102" t="str">
        <f t="shared" ref="A81:K81" si="104">INDEX(Nectar_extrafloral_PS,1,A$6)</f>
        <v>Production de nectar extrafloral PS</v>
      </c>
      <c r="B81" s="102">
        <f t="shared" si="104"/>
        <v>1</v>
      </c>
      <c r="C81" s="102">
        <f t="shared" si="104"/>
        <v>1</v>
      </c>
      <c r="D81" s="102">
        <f t="shared" si="104"/>
        <v>1</v>
      </c>
      <c r="E81" s="102">
        <f t="shared" si="104"/>
        <v>1</v>
      </c>
      <c r="F81" s="102">
        <f t="shared" si="104"/>
        <v>2</v>
      </c>
      <c r="G81" s="102">
        <f t="shared" si="104"/>
        <v>1</v>
      </c>
      <c r="H81" s="102">
        <f t="shared" si="104"/>
        <v>1</v>
      </c>
      <c r="I81" s="102">
        <f t="shared" si="104"/>
        <v>1</v>
      </c>
      <c r="J81" s="102">
        <f t="shared" si="104"/>
        <v>1</v>
      </c>
      <c r="K81" s="102">
        <f t="shared" si="104"/>
        <v>1</v>
      </c>
      <c r="L81" s="102">
        <f t="shared" ref="L81:V81" si="105">INDEX(Nectar_extrafloral_PS,1,L$6)</f>
        <v>1</v>
      </c>
      <c r="M81" s="102">
        <f t="shared" si="105"/>
        <v>1</v>
      </c>
      <c r="N81" s="102">
        <f t="shared" si="105"/>
        <v>1</v>
      </c>
      <c r="O81" s="102">
        <f t="shared" si="105"/>
        <v>1</v>
      </c>
      <c r="P81" s="102">
        <f t="shared" si="105"/>
        <v>1</v>
      </c>
      <c r="Q81" s="102">
        <f t="shared" si="105"/>
        <v>2</v>
      </c>
      <c r="R81" s="102">
        <f t="shared" si="105"/>
        <v>1</v>
      </c>
      <c r="S81" s="102">
        <f t="shared" si="105"/>
        <v>1</v>
      </c>
      <c r="T81" s="102">
        <f t="shared" si="105"/>
        <v>2</v>
      </c>
      <c r="U81" s="102">
        <f t="shared" si="105"/>
        <v>1</v>
      </c>
      <c r="V81" s="102" t="e">
        <f t="shared" si="105"/>
        <v>#N/A</v>
      </c>
    </row>
    <row r="82" spans="1:22" s="106" customFormat="1">
      <c r="A82" s="104" t="s">
        <v>471</v>
      </c>
      <c r="B82" s="104" t="e">
        <f t="shared" ref="B82:V82" si="106">VLOOKUP(B83,RDD_auxiliaire_sol,2,0)</f>
        <v>#N/A</v>
      </c>
      <c r="C82" s="104" t="e">
        <f t="shared" si="106"/>
        <v>#N/A</v>
      </c>
      <c r="D82" s="104" t="e">
        <f t="shared" si="106"/>
        <v>#N/A</v>
      </c>
      <c r="E82" s="104" t="e">
        <f t="shared" si="106"/>
        <v>#N/A</v>
      </c>
      <c r="F82" s="104" t="e">
        <f t="shared" si="106"/>
        <v>#N/A</v>
      </c>
      <c r="G82" s="104" t="e">
        <f t="shared" si="106"/>
        <v>#N/A</v>
      </c>
      <c r="H82" s="104" t="e">
        <f t="shared" si="106"/>
        <v>#N/A</v>
      </c>
      <c r="I82" s="104" t="e">
        <f t="shared" si="106"/>
        <v>#N/A</v>
      </c>
      <c r="J82" s="104" t="e">
        <f t="shared" si="106"/>
        <v>#N/A</v>
      </c>
      <c r="K82" s="104" t="e">
        <f t="shared" si="106"/>
        <v>#N/A</v>
      </c>
      <c r="L82" s="104" t="e">
        <f t="shared" si="106"/>
        <v>#N/A</v>
      </c>
      <c r="M82" s="104" t="e">
        <f t="shared" si="106"/>
        <v>#N/A</v>
      </c>
      <c r="N82" s="104" t="e">
        <f t="shared" si="106"/>
        <v>#N/A</v>
      </c>
      <c r="O82" s="104" t="e">
        <f t="shared" si="106"/>
        <v>#N/A</v>
      </c>
      <c r="P82" s="104" t="e">
        <f t="shared" si="106"/>
        <v>#N/A</v>
      </c>
      <c r="Q82" s="104" t="e">
        <f t="shared" si="106"/>
        <v>#N/A</v>
      </c>
      <c r="R82" s="104" t="e">
        <f t="shared" si="106"/>
        <v>#N/A</v>
      </c>
      <c r="S82" s="104" t="e">
        <f t="shared" si="106"/>
        <v>#N/A</v>
      </c>
      <c r="T82" s="104" t="e">
        <f t="shared" si="106"/>
        <v>#N/A</v>
      </c>
      <c r="U82" s="104" t="e">
        <f t="shared" si="106"/>
        <v>#N/A</v>
      </c>
      <c r="V82" s="104" t="e">
        <f t="shared" si="106"/>
        <v>#N/A</v>
      </c>
    </row>
    <row r="83" spans="1:22" s="106" customFormat="1">
      <c r="A83" s="103" t="s">
        <v>355</v>
      </c>
      <c r="B83" s="104" t="e">
        <f>B$8</f>
        <v>#N/A</v>
      </c>
      <c r="C83" s="104" t="e">
        <f t="shared" ref="C83:V83" si="107">C$8</f>
        <v>#N/A</v>
      </c>
      <c r="D83" s="104" t="e">
        <f t="shared" si="107"/>
        <v>#N/A</v>
      </c>
      <c r="E83" s="104" t="e">
        <f t="shared" si="107"/>
        <v>#N/A</v>
      </c>
      <c r="F83" s="104" t="e">
        <f t="shared" si="107"/>
        <v>#N/A</v>
      </c>
      <c r="G83" s="104" t="e">
        <f t="shared" si="107"/>
        <v>#N/A</v>
      </c>
      <c r="H83" s="104" t="e">
        <f t="shared" si="107"/>
        <v>#N/A</v>
      </c>
      <c r="I83" s="104" t="e">
        <f t="shared" si="107"/>
        <v>#N/A</v>
      </c>
      <c r="J83" s="104" t="e">
        <f t="shared" si="107"/>
        <v>#N/A</v>
      </c>
      <c r="K83" s="104" t="e">
        <f t="shared" si="107"/>
        <v>#N/A</v>
      </c>
      <c r="L83" s="104" t="e">
        <f t="shared" si="107"/>
        <v>#N/A</v>
      </c>
      <c r="M83" s="104" t="e">
        <f t="shared" si="107"/>
        <v>#N/A</v>
      </c>
      <c r="N83" s="104" t="e">
        <f t="shared" si="107"/>
        <v>#N/A</v>
      </c>
      <c r="O83" s="104" t="e">
        <f t="shared" si="107"/>
        <v>#N/A</v>
      </c>
      <c r="P83" s="104" t="e">
        <f t="shared" si="107"/>
        <v>#N/A</v>
      </c>
      <c r="Q83" s="104" t="e">
        <f t="shared" si="107"/>
        <v>#N/A</v>
      </c>
      <c r="R83" s="104" t="e">
        <f t="shared" si="107"/>
        <v>#N/A</v>
      </c>
      <c r="S83" s="104" t="e">
        <f t="shared" si="107"/>
        <v>#N/A</v>
      </c>
      <c r="T83" s="104" t="e">
        <f t="shared" si="107"/>
        <v>#N/A</v>
      </c>
      <c r="U83" s="104" t="e">
        <f t="shared" si="107"/>
        <v>#N/A</v>
      </c>
      <c r="V83" s="104" t="e">
        <f t="shared" si="107"/>
        <v>#N/A</v>
      </c>
    </row>
    <row r="84" spans="1:22" s="106" customFormat="1">
      <c r="A84" s="123" t="s">
        <v>468</v>
      </c>
      <c r="B84" s="104" t="e">
        <f t="shared" ref="B84:M84" si="108">VLOOKUP(CONCATENATE(B85,B97),RDD_regulation_adventices_automne,2,0)</f>
        <v>#N/A</v>
      </c>
      <c r="C84" s="104" t="e">
        <f t="shared" si="108"/>
        <v>#N/A</v>
      </c>
      <c r="D84" s="104" t="e">
        <f t="shared" si="108"/>
        <v>#N/A</v>
      </c>
      <c r="E84" s="104" t="e">
        <f t="shared" si="108"/>
        <v>#N/A</v>
      </c>
      <c r="F84" s="104" t="e">
        <f t="shared" si="108"/>
        <v>#N/A</v>
      </c>
      <c r="G84" s="104" t="e">
        <f t="shared" si="108"/>
        <v>#N/A</v>
      </c>
      <c r="H84" s="104" t="e">
        <f t="shared" si="108"/>
        <v>#N/A</v>
      </c>
      <c r="I84" s="104" t="e">
        <f t="shared" si="108"/>
        <v>#N/A</v>
      </c>
      <c r="J84" s="104" t="e">
        <f t="shared" si="108"/>
        <v>#N/A</v>
      </c>
      <c r="K84" s="104" t="e">
        <f t="shared" si="108"/>
        <v>#N/A</v>
      </c>
      <c r="L84" s="104" t="e">
        <f t="shared" si="108"/>
        <v>#N/A</v>
      </c>
      <c r="M84" s="104" t="e">
        <f t="shared" si="108"/>
        <v>#N/A</v>
      </c>
      <c r="N84" s="104" t="e">
        <f t="shared" ref="N84:V84" si="109">VLOOKUP(CONCATENATE(N85,N97),RDD_regulation_adventices_automne,2,0)</f>
        <v>#N/A</v>
      </c>
      <c r="O84" s="104" t="e">
        <f t="shared" si="109"/>
        <v>#N/A</v>
      </c>
      <c r="P84" s="104" t="e">
        <f t="shared" si="109"/>
        <v>#N/A</v>
      </c>
      <c r="Q84" s="104" t="e">
        <f t="shared" si="109"/>
        <v>#N/A</v>
      </c>
      <c r="R84" s="104" t="e">
        <f t="shared" si="109"/>
        <v>#N/A</v>
      </c>
      <c r="S84" s="104" t="e">
        <f t="shared" si="109"/>
        <v>#N/A</v>
      </c>
      <c r="T84" s="104" t="e">
        <f t="shared" si="109"/>
        <v>#N/A</v>
      </c>
      <c r="U84" s="104" t="e">
        <f t="shared" si="109"/>
        <v>#N/A</v>
      </c>
      <c r="V84" s="104" t="e">
        <f t="shared" si="109"/>
        <v>#N/A</v>
      </c>
    </row>
    <row r="85" spans="1:22" s="106" customFormat="1">
      <c r="A85" s="104" t="s">
        <v>462</v>
      </c>
      <c r="B85" s="104" t="e">
        <f t="shared" ref="B85:M85" si="110">VLOOKUP(CONCATENATE(B86,B96),RDD_effet_competition_plante_vivante,2,0)</f>
        <v>#N/A</v>
      </c>
      <c r="C85" s="104" t="e">
        <f t="shared" si="110"/>
        <v>#N/A</v>
      </c>
      <c r="D85" s="104" t="e">
        <f t="shared" si="110"/>
        <v>#N/A</v>
      </c>
      <c r="E85" s="104" t="e">
        <f t="shared" si="110"/>
        <v>#N/A</v>
      </c>
      <c r="F85" s="104" t="e">
        <f t="shared" si="110"/>
        <v>#N/A</v>
      </c>
      <c r="G85" s="104" t="e">
        <f t="shared" si="110"/>
        <v>#N/A</v>
      </c>
      <c r="H85" s="104" t="e">
        <f t="shared" si="110"/>
        <v>#N/A</v>
      </c>
      <c r="I85" s="104" t="e">
        <f t="shared" si="110"/>
        <v>#N/A</v>
      </c>
      <c r="J85" s="104" t="e">
        <f t="shared" si="110"/>
        <v>#N/A</v>
      </c>
      <c r="K85" s="104" t="e">
        <f t="shared" si="110"/>
        <v>#N/A</v>
      </c>
      <c r="L85" s="104" t="e">
        <f t="shared" si="110"/>
        <v>#N/A</v>
      </c>
      <c r="M85" s="104" t="e">
        <f t="shared" si="110"/>
        <v>#N/A</v>
      </c>
      <c r="N85" s="104" t="e">
        <f t="shared" ref="N85:V85" si="111">VLOOKUP(CONCATENATE(N86,N96),RDD_effet_competition_plante_vivante,2,0)</f>
        <v>#N/A</v>
      </c>
      <c r="O85" s="104" t="e">
        <f t="shared" si="111"/>
        <v>#N/A</v>
      </c>
      <c r="P85" s="104" t="e">
        <f t="shared" si="111"/>
        <v>#N/A</v>
      </c>
      <c r="Q85" s="104" t="e">
        <f t="shared" si="111"/>
        <v>#N/A</v>
      </c>
      <c r="R85" s="104" t="e">
        <f t="shared" si="111"/>
        <v>#N/A</v>
      </c>
      <c r="S85" s="104" t="e">
        <f t="shared" si="111"/>
        <v>#N/A</v>
      </c>
      <c r="T85" s="104" t="e">
        <f t="shared" si="111"/>
        <v>#N/A</v>
      </c>
      <c r="U85" s="104" t="e">
        <f t="shared" si="111"/>
        <v>#N/A</v>
      </c>
      <c r="V85" s="104" t="e">
        <f t="shared" si="111"/>
        <v>#N/A</v>
      </c>
    </row>
    <row r="86" spans="1:22" s="104" customFormat="1">
      <c r="A86" s="104" t="s">
        <v>309</v>
      </c>
      <c r="B86" s="104">
        <f t="shared" ref="B86:M86" si="112">VLOOKUP(CONCATENATE(B87,B88,B92),RDD_traits_PS_competition,2,0)</f>
        <v>2</v>
      </c>
      <c r="C86" s="104">
        <f t="shared" si="112"/>
        <v>3</v>
      </c>
      <c r="D86" s="104">
        <f t="shared" si="112"/>
        <v>3</v>
      </c>
      <c r="E86" s="104">
        <f t="shared" si="112"/>
        <v>1</v>
      </c>
      <c r="F86" s="104">
        <f t="shared" si="112"/>
        <v>2</v>
      </c>
      <c r="G86" s="104">
        <f t="shared" si="112"/>
        <v>2</v>
      </c>
      <c r="H86" s="104">
        <f t="shared" si="112"/>
        <v>1</v>
      </c>
      <c r="I86" s="104">
        <f t="shared" si="112"/>
        <v>3</v>
      </c>
      <c r="J86" s="104">
        <f t="shared" si="112"/>
        <v>2</v>
      </c>
      <c r="K86" s="104">
        <f t="shared" si="112"/>
        <v>3</v>
      </c>
      <c r="L86" s="104">
        <f t="shared" si="112"/>
        <v>4</v>
      </c>
      <c r="M86" s="104">
        <f t="shared" si="112"/>
        <v>4</v>
      </c>
      <c r="N86" s="104">
        <f t="shared" ref="N86:V86" si="113">VLOOKUP(CONCATENATE(N87,N88,N92),RDD_traits_PS_competition,2,0)</f>
        <v>2</v>
      </c>
      <c r="O86" s="104">
        <f t="shared" si="113"/>
        <v>3</v>
      </c>
      <c r="P86" s="104">
        <f t="shared" si="113"/>
        <v>4</v>
      </c>
      <c r="Q86" s="104">
        <f t="shared" si="113"/>
        <v>4</v>
      </c>
      <c r="R86" s="104">
        <f t="shared" si="113"/>
        <v>2</v>
      </c>
      <c r="S86" s="104">
        <f t="shared" si="113"/>
        <v>1</v>
      </c>
      <c r="T86" s="104">
        <f t="shared" si="113"/>
        <v>2</v>
      </c>
      <c r="U86" s="104">
        <f t="shared" si="113"/>
        <v>3</v>
      </c>
      <c r="V86" s="104" t="e">
        <f t="shared" si="113"/>
        <v>#N/A</v>
      </c>
    </row>
    <row r="87" spans="1:22" s="102" customFormat="1">
      <c r="A87" s="102" t="str">
        <f t="shared" ref="A87:V87" si="114">INDEX(Allelopathie_PS,1,A$6)</f>
        <v>Allelopathie PS</v>
      </c>
      <c r="B87" s="102">
        <f t="shared" si="114"/>
        <v>1</v>
      </c>
      <c r="C87" s="102">
        <f t="shared" si="114"/>
        <v>2</v>
      </c>
      <c r="D87" s="102">
        <f t="shared" si="114"/>
        <v>2</v>
      </c>
      <c r="E87" s="102">
        <f t="shared" si="114"/>
        <v>1</v>
      </c>
      <c r="F87" s="102">
        <f t="shared" si="114"/>
        <v>1</v>
      </c>
      <c r="G87" s="102">
        <f t="shared" si="114"/>
        <v>1</v>
      </c>
      <c r="H87" s="102">
        <f t="shared" si="114"/>
        <v>1</v>
      </c>
      <c r="I87" s="102">
        <f t="shared" si="114"/>
        <v>2</v>
      </c>
      <c r="J87" s="102">
        <f t="shared" si="114"/>
        <v>1</v>
      </c>
      <c r="K87" s="102">
        <f t="shared" si="114"/>
        <v>1</v>
      </c>
      <c r="L87" s="102">
        <f t="shared" si="114"/>
        <v>1</v>
      </c>
      <c r="M87" s="102">
        <f t="shared" si="114"/>
        <v>1</v>
      </c>
      <c r="N87" s="102">
        <f t="shared" si="114"/>
        <v>1</v>
      </c>
      <c r="O87" s="102">
        <f t="shared" si="114"/>
        <v>1</v>
      </c>
      <c r="P87" s="102">
        <f t="shared" si="114"/>
        <v>2</v>
      </c>
      <c r="Q87" s="102">
        <f t="shared" si="114"/>
        <v>2</v>
      </c>
      <c r="R87" s="102">
        <f t="shared" si="114"/>
        <v>1</v>
      </c>
      <c r="S87" s="102">
        <f t="shared" si="114"/>
        <v>2</v>
      </c>
      <c r="T87" s="102">
        <f t="shared" si="114"/>
        <v>1</v>
      </c>
      <c r="U87" s="102">
        <f t="shared" si="114"/>
        <v>1</v>
      </c>
      <c r="V87" s="102" t="e">
        <f t="shared" si="114"/>
        <v>#N/A</v>
      </c>
    </row>
    <row r="88" spans="1:22" s="104" customFormat="1">
      <c r="A88" s="104" t="s">
        <v>352</v>
      </c>
      <c r="B88" s="104">
        <f t="shared" ref="B88:M88" si="115">VLOOKUP(CONCATENATE(B89,B90,B91),RDD_competition_lumiere,2,0)</f>
        <v>4</v>
      </c>
      <c r="C88" s="104">
        <f t="shared" si="115"/>
        <v>4</v>
      </c>
      <c r="D88" s="104">
        <f t="shared" si="115"/>
        <v>3</v>
      </c>
      <c r="E88" s="104">
        <f t="shared" si="115"/>
        <v>2</v>
      </c>
      <c r="F88" s="104">
        <f t="shared" si="115"/>
        <v>4</v>
      </c>
      <c r="G88" s="104">
        <f t="shared" si="115"/>
        <v>3</v>
      </c>
      <c r="H88" s="104">
        <f t="shared" si="115"/>
        <v>2</v>
      </c>
      <c r="I88" s="104">
        <f t="shared" si="115"/>
        <v>2</v>
      </c>
      <c r="J88" s="104">
        <f t="shared" si="115"/>
        <v>3</v>
      </c>
      <c r="K88" s="104">
        <f t="shared" si="115"/>
        <v>4</v>
      </c>
      <c r="L88" s="104">
        <f t="shared" si="115"/>
        <v>4</v>
      </c>
      <c r="M88" s="104">
        <f t="shared" si="115"/>
        <v>4</v>
      </c>
      <c r="N88" s="104">
        <f t="shared" ref="N88:V88" si="116">VLOOKUP(CONCATENATE(N89,N90,N91),RDD_competition_lumiere,2,0)</f>
        <v>3</v>
      </c>
      <c r="O88" s="104">
        <f t="shared" si="116"/>
        <v>3</v>
      </c>
      <c r="P88" s="104">
        <f t="shared" si="116"/>
        <v>3</v>
      </c>
      <c r="Q88" s="104">
        <f t="shared" si="116"/>
        <v>4</v>
      </c>
      <c r="R88" s="104">
        <f t="shared" si="116"/>
        <v>3</v>
      </c>
      <c r="S88" s="104">
        <f t="shared" si="116"/>
        <v>1</v>
      </c>
      <c r="T88" s="104">
        <f t="shared" si="116"/>
        <v>3</v>
      </c>
      <c r="U88" s="104">
        <f t="shared" si="116"/>
        <v>3</v>
      </c>
      <c r="V88" s="104" t="e">
        <f t="shared" si="116"/>
        <v>#N/A</v>
      </c>
    </row>
    <row r="89" spans="1:22" s="102" customFormat="1">
      <c r="A89" s="102" t="str">
        <f>INDEX(Hauteur_PS,1,A$6)</f>
        <v>Hauteur PS</v>
      </c>
      <c r="B89" s="102">
        <f t="shared" ref="B89:V89" si="117">INDEX(Hauteur_PS,1,B$6)</f>
        <v>3</v>
      </c>
      <c r="C89" s="102">
        <f t="shared" si="117"/>
        <v>3</v>
      </c>
      <c r="D89" s="102">
        <f t="shared" si="117"/>
        <v>2</v>
      </c>
      <c r="E89" s="102">
        <f t="shared" si="117"/>
        <v>2</v>
      </c>
      <c r="F89" s="102">
        <f t="shared" si="117"/>
        <v>3</v>
      </c>
      <c r="G89" s="102">
        <f t="shared" si="117"/>
        <v>2</v>
      </c>
      <c r="H89" s="102">
        <f t="shared" si="117"/>
        <v>1</v>
      </c>
      <c r="I89" s="102">
        <f t="shared" si="117"/>
        <v>2</v>
      </c>
      <c r="J89" s="102">
        <f t="shared" si="117"/>
        <v>2</v>
      </c>
      <c r="K89" s="102">
        <f t="shared" si="117"/>
        <v>3</v>
      </c>
      <c r="L89" s="102">
        <f t="shared" si="117"/>
        <v>3</v>
      </c>
      <c r="M89" s="102">
        <f t="shared" si="117"/>
        <v>3</v>
      </c>
      <c r="N89" s="102">
        <f t="shared" si="117"/>
        <v>2</v>
      </c>
      <c r="O89" s="102">
        <f t="shared" si="117"/>
        <v>2</v>
      </c>
      <c r="P89" s="102">
        <f t="shared" si="117"/>
        <v>2</v>
      </c>
      <c r="Q89" s="102">
        <f t="shared" si="117"/>
        <v>3</v>
      </c>
      <c r="R89" s="102">
        <f t="shared" si="117"/>
        <v>2</v>
      </c>
      <c r="S89" s="102">
        <f t="shared" si="117"/>
        <v>1</v>
      </c>
      <c r="T89" s="102">
        <f t="shared" si="117"/>
        <v>2</v>
      </c>
      <c r="U89" s="102">
        <f t="shared" si="117"/>
        <v>2</v>
      </c>
      <c r="V89" s="102" t="e">
        <f t="shared" si="117"/>
        <v>#N/A</v>
      </c>
    </row>
    <row r="90" spans="1:22" s="102" customFormat="1">
      <c r="A90" s="102" t="s">
        <v>31</v>
      </c>
      <c r="B90" s="102">
        <f t="shared" ref="B90:V90" si="118">INDEX(Vitesse_croissance_PS,1,B$6)</f>
        <v>2</v>
      </c>
      <c r="C90" s="102">
        <f t="shared" si="118"/>
        <v>3</v>
      </c>
      <c r="D90" s="102">
        <f t="shared" si="118"/>
        <v>3</v>
      </c>
      <c r="E90" s="102">
        <f t="shared" si="118"/>
        <v>2</v>
      </c>
      <c r="F90" s="102">
        <f t="shared" si="118"/>
        <v>2</v>
      </c>
      <c r="G90" s="102">
        <f t="shared" si="118"/>
        <v>2</v>
      </c>
      <c r="H90" s="102">
        <f t="shared" si="118"/>
        <v>3</v>
      </c>
      <c r="I90" s="102">
        <f t="shared" si="118"/>
        <v>2</v>
      </c>
      <c r="J90" s="102">
        <f t="shared" si="118"/>
        <v>2</v>
      </c>
      <c r="K90" s="102">
        <f t="shared" si="118"/>
        <v>3</v>
      </c>
      <c r="L90" s="102">
        <f t="shared" si="118"/>
        <v>2</v>
      </c>
      <c r="M90" s="102">
        <f t="shared" si="118"/>
        <v>3</v>
      </c>
      <c r="N90" s="102">
        <f t="shared" si="118"/>
        <v>2</v>
      </c>
      <c r="O90" s="102">
        <f t="shared" si="118"/>
        <v>2</v>
      </c>
      <c r="P90" s="102">
        <f t="shared" si="118"/>
        <v>3</v>
      </c>
      <c r="Q90" s="102">
        <f t="shared" si="118"/>
        <v>2</v>
      </c>
      <c r="R90" s="102">
        <f t="shared" si="118"/>
        <v>2</v>
      </c>
      <c r="S90" s="102">
        <f t="shared" si="118"/>
        <v>1</v>
      </c>
      <c r="T90" s="102">
        <f t="shared" si="118"/>
        <v>2</v>
      </c>
      <c r="U90" s="102">
        <f t="shared" si="118"/>
        <v>3</v>
      </c>
      <c r="V90" s="102" t="e">
        <f t="shared" si="118"/>
        <v>#N/A</v>
      </c>
    </row>
    <row r="91" spans="1:22" s="102" customFormat="1">
      <c r="A91" s="102" t="s">
        <v>330</v>
      </c>
      <c r="B91" s="102">
        <f t="shared" ref="B91:V91" si="119">INDEX(Surface_feuille_PS,1,B$6)</f>
        <v>3</v>
      </c>
      <c r="C91" s="102">
        <f t="shared" si="119"/>
        <v>3</v>
      </c>
      <c r="D91" s="102">
        <f t="shared" si="119"/>
        <v>2</v>
      </c>
      <c r="E91" s="102">
        <f t="shared" si="119"/>
        <v>1</v>
      </c>
      <c r="F91" s="102">
        <f t="shared" si="119"/>
        <v>3</v>
      </c>
      <c r="G91" s="102">
        <f t="shared" si="119"/>
        <v>2</v>
      </c>
      <c r="H91" s="102">
        <f t="shared" si="119"/>
        <v>1</v>
      </c>
      <c r="I91" s="102">
        <f t="shared" si="119"/>
        <v>1</v>
      </c>
      <c r="J91" s="102">
        <f t="shared" si="119"/>
        <v>2</v>
      </c>
      <c r="K91" s="102">
        <f t="shared" si="119"/>
        <v>3</v>
      </c>
      <c r="L91" s="102">
        <f t="shared" si="119"/>
        <v>3</v>
      </c>
      <c r="M91" s="102">
        <f t="shared" si="119"/>
        <v>3</v>
      </c>
      <c r="N91" s="102">
        <f t="shared" si="119"/>
        <v>3</v>
      </c>
      <c r="O91" s="102">
        <f t="shared" si="119"/>
        <v>3</v>
      </c>
      <c r="P91" s="102">
        <f t="shared" si="119"/>
        <v>2</v>
      </c>
      <c r="Q91" s="102">
        <f t="shared" si="119"/>
        <v>3</v>
      </c>
      <c r="R91" s="102">
        <f t="shared" si="119"/>
        <v>2</v>
      </c>
      <c r="S91" s="102">
        <f t="shared" si="119"/>
        <v>1</v>
      </c>
      <c r="T91" s="102">
        <f t="shared" si="119"/>
        <v>2</v>
      </c>
      <c r="U91" s="102">
        <f t="shared" si="119"/>
        <v>2</v>
      </c>
      <c r="V91" s="102" t="e">
        <f t="shared" si="119"/>
        <v>#N/A</v>
      </c>
    </row>
    <row r="92" spans="1:22" s="104" customFormat="1">
      <c r="A92" s="104" t="s">
        <v>351</v>
      </c>
      <c r="B92" s="104">
        <f t="shared" ref="B92:M92" si="120">VLOOKUP(CONCATENATE(B93,B94,B95),RDD_competition_azote,2,0)</f>
        <v>2</v>
      </c>
      <c r="C92" s="104">
        <f t="shared" si="120"/>
        <v>2</v>
      </c>
      <c r="D92" s="104">
        <f t="shared" si="120"/>
        <v>2</v>
      </c>
      <c r="E92" s="104">
        <f t="shared" si="120"/>
        <v>1</v>
      </c>
      <c r="F92" s="104">
        <f t="shared" si="120"/>
        <v>2</v>
      </c>
      <c r="G92" s="104">
        <f t="shared" si="120"/>
        <v>2</v>
      </c>
      <c r="H92" s="104">
        <f t="shared" si="120"/>
        <v>2</v>
      </c>
      <c r="I92" s="104">
        <f t="shared" si="120"/>
        <v>3</v>
      </c>
      <c r="J92" s="104">
        <f t="shared" si="120"/>
        <v>2</v>
      </c>
      <c r="K92" s="104">
        <f t="shared" si="120"/>
        <v>3</v>
      </c>
      <c r="L92" s="104">
        <f t="shared" si="120"/>
        <v>4</v>
      </c>
      <c r="M92" s="104">
        <f t="shared" si="120"/>
        <v>4</v>
      </c>
      <c r="N92" s="104">
        <f t="shared" ref="N92:V92" si="121">VLOOKUP(CONCATENATE(N93,N94,N95),RDD_competition_azote,2,0)</f>
        <v>2</v>
      </c>
      <c r="O92" s="104">
        <f t="shared" si="121"/>
        <v>3</v>
      </c>
      <c r="P92" s="104">
        <f t="shared" si="121"/>
        <v>3</v>
      </c>
      <c r="Q92" s="104">
        <f t="shared" si="121"/>
        <v>4</v>
      </c>
      <c r="R92" s="104">
        <f t="shared" si="121"/>
        <v>2</v>
      </c>
      <c r="S92" s="104">
        <f t="shared" si="121"/>
        <v>1</v>
      </c>
      <c r="T92" s="104">
        <f t="shared" si="121"/>
        <v>1</v>
      </c>
      <c r="U92" s="104">
        <f t="shared" si="121"/>
        <v>3</v>
      </c>
      <c r="V92" s="104" t="e">
        <f t="shared" si="121"/>
        <v>#N/A</v>
      </c>
    </row>
    <row r="93" spans="1:22" s="102" customFormat="1">
      <c r="A93" s="102" t="s">
        <v>30</v>
      </c>
      <c r="B93" s="102">
        <f t="shared" ref="B93:V93" si="122">INDEX(Nitrophilie_PS,1,B$6)</f>
        <v>1</v>
      </c>
      <c r="C93" s="102">
        <f t="shared" si="122"/>
        <v>1</v>
      </c>
      <c r="D93" s="102">
        <f t="shared" si="122"/>
        <v>1</v>
      </c>
      <c r="E93" s="102">
        <f t="shared" si="122"/>
        <v>1</v>
      </c>
      <c r="F93" s="102">
        <f t="shared" si="122"/>
        <v>2</v>
      </c>
      <c r="G93" s="102">
        <f t="shared" si="122"/>
        <v>2</v>
      </c>
      <c r="H93" s="102">
        <f t="shared" si="122"/>
        <v>1</v>
      </c>
      <c r="I93" s="102">
        <f t="shared" si="122"/>
        <v>2</v>
      </c>
      <c r="J93" s="102">
        <f t="shared" si="122"/>
        <v>2</v>
      </c>
      <c r="K93" s="102">
        <f t="shared" si="122"/>
        <v>2</v>
      </c>
      <c r="L93" s="102">
        <f t="shared" si="122"/>
        <v>3</v>
      </c>
      <c r="M93" s="102">
        <f t="shared" si="122"/>
        <v>3</v>
      </c>
      <c r="N93" s="102">
        <f t="shared" si="122"/>
        <v>2</v>
      </c>
      <c r="O93" s="102">
        <f t="shared" si="122"/>
        <v>3</v>
      </c>
      <c r="P93" s="102">
        <f t="shared" si="122"/>
        <v>2</v>
      </c>
      <c r="Q93" s="102">
        <f t="shared" si="122"/>
        <v>3</v>
      </c>
      <c r="R93" s="102">
        <f t="shared" si="122"/>
        <v>2</v>
      </c>
      <c r="S93" s="102">
        <f t="shared" si="122"/>
        <v>1</v>
      </c>
      <c r="T93" s="102">
        <f t="shared" si="122"/>
        <v>1</v>
      </c>
      <c r="U93" s="102">
        <f t="shared" si="122"/>
        <v>2</v>
      </c>
      <c r="V93" s="102" t="e">
        <f t="shared" si="122"/>
        <v>#N/A</v>
      </c>
    </row>
    <row r="94" spans="1:22" s="102" customFormat="1">
      <c r="A94" s="102" t="s">
        <v>26</v>
      </c>
      <c r="B94" s="102">
        <f t="shared" ref="B94:V94" si="123">INDEX(PS_fixatrice_N,1,B$6)</f>
        <v>2</v>
      </c>
      <c r="C94" s="102">
        <f t="shared" si="123"/>
        <v>2</v>
      </c>
      <c r="D94" s="102">
        <f t="shared" si="123"/>
        <v>2</v>
      </c>
      <c r="E94" s="102">
        <f t="shared" si="123"/>
        <v>1</v>
      </c>
      <c r="F94" s="102">
        <f t="shared" si="123"/>
        <v>1</v>
      </c>
      <c r="G94" s="102">
        <f t="shared" si="123"/>
        <v>1</v>
      </c>
      <c r="H94" s="102">
        <f t="shared" si="123"/>
        <v>1</v>
      </c>
      <c r="I94" s="102">
        <f t="shared" si="123"/>
        <v>2</v>
      </c>
      <c r="J94" s="102">
        <f t="shared" si="123"/>
        <v>1</v>
      </c>
      <c r="K94" s="102">
        <f t="shared" si="123"/>
        <v>2</v>
      </c>
      <c r="L94" s="102">
        <f t="shared" si="123"/>
        <v>2</v>
      </c>
      <c r="M94" s="102">
        <f t="shared" si="123"/>
        <v>2</v>
      </c>
      <c r="N94" s="102">
        <f t="shared" si="123"/>
        <v>1</v>
      </c>
      <c r="O94" s="102">
        <f t="shared" si="123"/>
        <v>1</v>
      </c>
      <c r="P94" s="102">
        <f t="shared" si="123"/>
        <v>2</v>
      </c>
      <c r="Q94" s="102">
        <f t="shared" si="123"/>
        <v>2</v>
      </c>
      <c r="R94" s="102">
        <f t="shared" si="123"/>
        <v>1</v>
      </c>
      <c r="S94" s="102">
        <f t="shared" si="123"/>
        <v>1</v>
      </c>
      <c r="T94" s="102">
        <f t="shared" si="123"/>
        <v>1</v>
      </c>
      <c r="U94" s="102">
        <f t="shared" si="123"/>
        <v>1</v>
      </c>
      <c r="V94" s="102" t="e">
        <f t="shared" si="123"/>
        <v>#N/A</v>
      </c>
    </row>
    <row r="95" spans="1:22" s="102" customFormat="1">
      <c r="A95" s="102" t="s">
        <v>31</v>
      </c>
      <c r="B95" s="102">
        <f t="shared" ref="B95:V95" si="124">INDEX(Vitesse_croissance_PS,1,B$6)</f>
        <v>2</v>
      </c>
      <c r="C95" s="102">
        <f t="shared" si="124"/>
        <v>3</v>
      </c>
      <c r="D95" s="102">
        <f t="shared" si="124"/>
        <v>3</v>
      </c>
      <c r="E95" s="102">
        <f t="shared" si="124"/>
        <v>2</v>
      </c>
      <c r="F95" s="102">
        <f t="shared" si="124"/>
        <v>2</v>
      </c>
      <c r="G95" s="102">
        <f t="shared" si="124"/>
        <v>2</v>
      </c>
      <c r="H95" s="102">
        <f t="shared" si="124"/>
        <v>3</v>
      </c>
      <c r="I95" s="102">
        <f t="shared" si="124"/>
        <v>2</v>
      </c>
      <c r="J95" s="102">
        <f t="shared" si="124"/>
        <v>2</v>
      </c>
      <c r="K95" s="102">
        <f t="shared" si="124"/>
        <v>3</v>
      </c>
      <c r="L95" s="102">
        <f t="shared" si="124"/>
        <v>2</v>
      </c>
      <c r="M95" s="102">
        <f t="shared" si="124"/>
        <v>3</v>
      </c>
      <c r="N95" s="102">
        <f t="shared" si="124"/>
        <v>2</v>
      </c>
      <c r="O95" s="102">
        <f t="shared" si="124"/>
        <v>2</v>
      </c>
      <c r="P95" s="102">
        <f t="shared" si="124"/>
        <v>3</v>
      </c>
      <c r="Q95" s="102">
        <f t="shared" si="124"/>
        <v>2</v>
      </c>
      <c r="R95" s="102">
        <f t="shared" si="124"/>
        <v>2</v>
      </c>
      <c r="S95" s="102">
        <f t="shared" si="124"/>
        <v>1</v>
      </c>
      <c r="T95" s="102">
        <f t="shared" si="124"/>
        <v>2</v>
      </c>
      <c r="U95" s="102">
        <f t="shared" si="124"/>
        <v>3</v>
      </c>
      <c r="V95" s="102" t="e">
        <f t="shared" si="124"/>
        <v>#N/A</v>
      </c>
    </row>
    <row r="96" spans="1:22" s="106" customFormat="1">
      <c r="A96" s="103" t="s">
        <v>355</v>
      </c>
      <c r="B96" s="104" t="e">
        <f>B$8</f>
        <v>#N/A</v>
      </c>
      <c r="C96" s="104" t="e">
        <f t="shared" ref="C96:V96" si="125">C$8</f>
        <v>#N/A</v>
      </c>
      <c r="D96" s="104" t="e">
        <f t="shared" si="125"/>
        <v>#N/A</v>
      </c>
      <c r="E96" s="104" t="e">
        <f t="shared" si="125"/>
        <v>#N/A</v>
      </c>
      <c r="F96" s="104" t="e">
        <f t="shared" si="125"/>
        <v>#N/A</v>
      </c>
      <c r="G96" s="104" t="e">
        <f t="shared" si="125"/>
        <v>#N/A</v>
      </c>
      <c r="H96" s="104" t="e">
        <f t="shared" si="125"/>
        <v>#N/A</v>
      </c>
      <c r="I96" s="104" t="e">
        <f t="shared" si="125"/>
        <v>#N/A</v>
      </c>
      <c r="J96" s="104" t="e">
        <f t="shared" si="125"/>
        <v>#N/A</v>
      </c>
      <c r="K96" s="104" t="e">
        <f t="shared" si="125"/>
        <v>#N/A</v>
      </c>
      <c r="L96" s="104" t="e">
        <f t="shared" si="125"/>
        <v>#N/A</v>
      </c>
      <c r="M96" s="104" t="e">
        <f t="shared" si="125"/>
        <v>#N/A</v>
      </c>
      <c r="N96" s="104" t="e">
        <f t="shared" si="125"/>
        <v>#N/A</v>
      </c>
      <c r="O96" s="104" t="e">
        <f t="shared" si="125"/>
        <v>#N/A</v>
      </c>
      <c r="P96" s="104" t="e">
        <f t="shared" si="125"/>
        <v>#N/A</v>
      </c>
      <c r="Q96" s="104" t="e">
        <f t="shared" si="125"/>
        <v>#N/A</v>
      </c>
      <c r="R96" s="104" t="e">
        <f t="shared" si="125"/>
        <v>#N/A</v>
      </c>
      <c r="S96" s="104" t="e">
        <f t="shared" si="125"/>
        <v>#N/A</v>
      </c>
      <c r="T96" s="104" t="e">
        <f t="shared" si="125"/>
        <v>#N/A</v>
      </c>
      <c r="U96" s="104" t="e">
        <f t="shared" si="125"/>
        <v>#N/A</v>
      </c>
      <c r="V96" s="104" t="e">
        <f t="shared" si="125"/>
        <v>#N/A</v>
      </c>
    </row>
    <row r="97" spans="1:22" s="106" customFormat="1">
      <c r="A97" s="101" t="s">
        <v>467</v>
      </c>
      <c r="B97" s="101" t="e">
        <f t="shared" ref="B97:V97" si="126">MATCH(Type_flore, classes_type_flore,0)</f>
        <v>#N/A</v>
      </c>
      <c r="C97" s="101" t="e">
        <f t="shared" si="126"/>
        <v>#N/A</v>
      </c>
      <c r="D97" s="101" t="e">
        <f t="shared" si="126"/>
        <v>#N/A</v>
      </c>
      <c r="E97" s="101" t="e">
        <f t="shared" si="126"/>
        <v>#N/A</v>
      </c>
      <c r="F97" s="101" t="e">
        <f t="shared" si="126"/>
        <v>#N/A</v>
      </c>
      <c r="G97" s="101" t="e">
        <f t="shared" si="126"/>
        <v>#N/A</v>
      </c>
      <c r="H97" s="101" t="e">
        <f t="shared" si="126"/>
        <v>#N/A</v>
      </c>
      <c r="I97" s="101" t="e">
        <f t="shared" si="126"/>
        <v>#N/A</v>
      </c>
      <c r="J97" s="101" t="e">
        <f t="shared" si="126"/>
        <v>#N/A</v>
      </c>
      <c r="K97" s="101" t="e">
        <f t="shared" si="126"/>
        <v>#N/A</v>
      </c>
      <c r="L97" s="101" t="e">
        <f t="shared" si="126"/>
        <v>#N/A</v>
      </c>
      <c r="M97" s="101" t="e">
        <f t="shared" si="126"/>
        <v>#N/A</v>
      </c>
      <c r="N97" s="101" t="e">
        <f t="shared" si="126"/>
        <v>#N/A</v>
      </c>
      <c r="O97" s="101" t="e">
        <f t="shared" si="126"/>
        <v>#N/A</v>
      </c>
      <c r="P97" s="101" t="e">
        <f t="shared" si="126"/>
        <v>#N/A</v>
      </c>
      <c r="Q97" s="101" t="e">
        <f t="shared" si="126"/>
        <v>#N/A</v>
      </c>
      <c r="R97" s="101" t="e">
        <f t="shared" si="126"/>
        <v>#N/A</v>
      </c>
      <c r="S97" s="101" t="e">
        <f t="shared" si="126"/>
        <v>#N/A</v>
      </c>
      <c r="T97" s="101" t="e">
        <f t="shared" si="126"/>
        <v>#N/A</v>
      </c>
      <c r="U97" s="101" t="e">
        <f t="shared" si="126"/>
        <v>#N/A</v>
      </c>
      <c r="V97" s="101" t="e">
        <f t="shared" si="126"/>
        <v>#N/A</v>
      </c>
    </row>
    <row r="98" spans="1:22" s="106" customFormat="1">
      <c r="A98" s="123" t="s">
        <v>465</v>
      </c>
      <c r="B98" s="104" t="e">
        <f t="shared" ref="B98:M98" si="127">VLOOKUP(CONCATENATE(B99,B104,B116),RDD_regulation_adventices_printemps,2,0)</f>
        <v>#N/A</v>
      </c>
      <c r="C98" s="104" t="e">
        <f t="shared" si="127"/>
        <v>#N/A</v>
      </c>
      <c r="D98" s="104" t="e">
        <f t="shared" si="127"/>
        <v>#N/A</v>
      </c>
      <c r="E98" s="104" t="e">
        <f t="shared" si="127"/>
        <v>#N/A</v>
      </c>
      <c r="F98" s="104" t="e">
        <f t="shared" si="127"/>
        <v>#N/A</v>
      </c>
      <c r="G98" s="104" t="e">
        <f t="shared" si="127"/>
        <v>#N/A</v>
      </c>
      <c r="H98" s="104" t="e">
        <f t="shared" si="127"/>
        <v>#N/A</v>
      </c>
      <c r="I98" s="104" t="e">
        <f t="shared" si="127"/>
        <v>#N/A</v>
      </c>
      <c r="J98" s="104" t="e">
        <f t="shared" si="127"/>
        <v>#N/A</v>
      </c>
      <c r="K98" s="104" t="e">
        <f t="shared" si="127"/>
        <v>#N/A</v>
      </c>
      <c r="L98" s="104" t="e">
        <f t="shared" si="127"/>
        <v>#N/A</v>
      </c>
      <c r="M98" s="104" t="e">
        <f t="shared" si="127"/>
        <v>#N/A</v>
      </c>
      <c r="N98" s="104" t="e">
        <f t="shared" ref="N98:V98" si="128">VLOOKUP(CONCATENATE(N99,N104,N116),RDD_regulation_adventices_printemps,2,0)</f>
        <v>#N/A</v>
      </c>
      <c r="O98" s="104" t="e">
        <f t="shared" si="128"/>
        <v>#N/A</v>
      </c>
      <c r="P98" s="104" t="e">
        <f t="shared" si="128"/>
        <v>#N/A</v>
      </c>
      <c r="Q98" s="104" t="e">
        <f t="shared" si="128"/>
        <v>#N/A</v>
      </c>
      <c r="R98" s="104" t="e">
        <f t="shared" si="128"/>
        <v>#N/A</v>
      </c>
      <c r="S98" s="104" t="e">
        <f t="shared" si="128"/>
        <v>#N/A</v>
      </c>
      <c r="T98" s="104" t="e">
        <f t="shared" si="128"/>
        <v>#N/A</v>
      </c>
      <c r="U98" s="104" t="e">
        <f t="shared" si="128"/>
        <v>#N/A</v>
      </c>
      <c r="V98" s="104" t="e">
        <f t="shared" si="128"/>
        <v>#N/A</v>
      </c>
    </row>
    <row r="99" spans="1:22" s="106" customFormat="1">
      <c r="A99" s="104" t="s">
        <v>438</v>
      </c>
      <c r="B99" s="104" t="e">
        <f t="shared" ref="B99:M99" si="129">VLOOKUP(CONCATENATE(B100,B103),RDD_destruction_PS,2,0)</f>
        <v>#N/A</v>
      </c>
      <c r="C99" s="104" t="e">
        <f t="shared" si="129"/>
        <v>#N/A</v>
      </c>
      <c r="D99" s="104" t="e">
        <f t="shared" si="129"/>
        <v>#N/A</v>
      </c>
      <c r="E99" s="104" t="e">
        <f t="shared" si="129"/>
        <v>#N/A</v>
      </c>
      <c r="F99" s="104" t="e">
        <f t="shared" si="129"/>
        <v>#N/A</v>
      </c>
      <c r="G99" s="104" t="e">
        <f t="shared" si="129"/>
        <v>#N/A</v>
      </c>
      <c r="H99" s="104" t="e">
        <f t="shared" si="129"/>
        <v>#N/A</v>
      </c>
      <c r="I99" s="104" t="e">
        <f t="shared" si="129"/>
        <v>#N/A</v>
      </c>
      <c r="J99" s="104" t="e">
        <f t="shared" si="129"/>
        <v>#N/A</v>
      </c>
      <c r="K99" s="104" t="e">
        <f t="shared" si="129"/>
        <v>#N/A</v>
      </c>
      <c r="L99" s="104" t="e">
        <f t="shared" si="129"/>
        <v>#N/A</v>
      </c>
      <c r="M99" s="104" t="e">
        <f t="shared" si="129"/>
        <v>#N/A</v>
      </c>
      <c r="N99" s="104" t="e">
        <f t="shared" ref="N99:V99" si="130">VLOOKUP(CONCATENATE(N100,N103),RDD_destruction_PS,2,0)</f>
        <v>#N/A</v>
      </c>
      <c r="O99" s="104" t="e">
        <f t="shared" si="130"/>
        <v>#N/A</v>
      </c>
      <c r="P99" s="104" t="e">
        <f t="shared" si="130"/>
        <v>#N/A</v>
      </c>
      <c r="Q99" s="104" t="e">
        <f t="shared" si="130"/>
        <v>#N/A</v>
      </c>
      <c r="R99" s="104" t="e">
        <f t="shared" si="130"/>
        <v>#N/A</v>
      </c>
      <c r="S99" s="104" t="e">
        <f t="shared" si="130"/>
        <v>#N/A</v>
      </c>
      <c r="T99" s="104" t="e">
        <f t="shared" si="130"/>
        <v>#N/A</v>
      </c>
      <c r="U99" s="104" t="e">
        <f t="shared" si="130"/>
        <v>#N/A</v>
      </c>
      <c r="V99" s="104" t="e">
        <f t="shared" si="130"/>
        <v>#N/A</v>
      </c>
    </row>
    <row r="100" spans="1:22" s="106" customFormat="1">
      <c r="A100" s="104" t="s">
        <v>221</v>
      </c>
      <c r="B100" s="104" t="e">
        <f t="shared" ref="B100:M100" si="131">VLOOKUP(CONCATENATE(B101,B102),RDD_destruction_par_gel,2,0)</f>
        <v>#N/A</v>
      </c>
      <c r="C100" s="104" t="e">
        <f t="shared" si="131"/>
        <v>#N/A</v>
      </c>
      <c r="D100" s="104" t="e">
        <f t="shared" si="131"/>
        <v>#N/A</v>
      </c>
      <c r="E100" s="104" t="e">
        <f t="shared" si="131"/>
        <v>#N/A</v>
      </c>
      <c r="F100" s="104" t="e">
        <f t="shared" si="131"/>
        <v>#N/A</v>
      </c>
      <c r="G100" s="104" t="e">
        <f t="shared" si="131"/>
        <v>#N/A</v>
      </c>
      <c r="H100" s="104" t="e">
        <f t="shared" si="131"/>
        <v>#N/A</v>
      </c>
      <c r="I100" s="104" t="e">
        <f t="shared" si="131"/>
        <v>#N/A</v>
      </c>
      <c r="J100" s="104" t="e">
        <f t="shared" si="131"/>
        <v>#N/A</v>
      </c>
      <c r="K100" s="104" t="e">
        <f t="shared" si="131"/>
        <v>#N/A</v>
      </c>
      <c r="L100" s="104" t="e">
        <f t="shared" si="131"/>
        <v>#N/A</v>
      </c>
      <c r="M100" s="104" t="e">
        <f t="shared" si="131"/>
        <v>#N/A</v>
      </c>
      <c r="N100" s="104" t="e">
        <f t="shared" ref="N100:V100" si="132">VLOOKUP(CONCATENATE(N101,N102),RDD_destruction_par_gel,2,0)</f>
        <v>#N/A</v>
      </c>
      <c r="O100" s="104" t="e">
        <f t="shared" si="132"/>
        <v>#N/A</v>
      </c>
      <c r="P100" s="104" t="e">
        <f t="shared" si="132"/>
        <v>#N/A</v>
      </c>
      <c r="Q100" s="104" t="e">
        <f t="shared" si="132"/>
        <v>#N/A</v>
      </c>
      <c r="R100" s="104" t="e">
        <f t="shared" si="132"/>
        <v>#N/A</v>
      </c>
      <c r="S100" s="104" t="e">
        <f t="shared" si="132"/>
        <v>#N/A</v>
      </c>
      <c r="T100" s="104" t="e">
        <f t="shared" si="132"/>
        <v>#N/A</v>
      </c>
      <c r="U100" s="104" t="e">
        <f t="shared" si="132"/>
        <v>#N/A</v>
      </c>
      <c r="V100" s="104" t="e">
        <f t="shared" si="132"/>
        <v>#N/A</v>
      </c>
    </row>
    <row r="101" spans="1:22" s="106" customFormat="1">
      <c r="A101" s="101" t="s">
        <v>341</v>
      </c>
      <c r="B101" s="101" t="e">
        <f t="shared" ref="B101:V101" si="133">MATCH(Frequence_gel, Classes_frequence_gel,0)</f>
        <v>#N/A</v>
      </c>
      <c r="C101" s="101" t="e">
        <f t="shared" si="133"/>
        <v>#N/A</v>
      </c>
      <c r="D101" s="101" t="e">
        <f t="shared" si="133"/>
        <v>#N/A</v>
      </c>
      <c r="E101" s="101" t="e">
        <f t="shared" si="133"/>
        <v>#N/A</v>
      </c>
      <c r="F101" s="101" t="e">
        <f t="shared" si="133"/>
        <v>#N/A</v>
      </c>
      <c r="G101" s="101" t="e">
        <f t="shared" si="133"/>
        <v>#N/A</v>
      </c>
      <c r="H101" s="101" t="e">
        <f t="shared" si="133"/>
        <v>#N/A</v>
      </c>
      <c r="I101" s="101" t="e">
        <f t="shared" si="133"/>
        <v>#N/A</v>
      </c>
      <c r="J101" s="101" t="e">
        <f t="shared" si="133"/>
        <v>#N/A</v>
      </c>
      <c r="K101" s="101" t="e">
        <f t="shared" si="133"/>
        <v>#N/A</v>
      </c>
      <c r="L101" s="101" t="e">
        <f t="shared" si="133"/>
        <v>#N/A</v>
      </c>
      <c r="M101" s="101" t="e">
        <f t="shared" si="133"/>
        <v>#N/A</v>
      </c>
      <c r="N101" s="101" t="e">
        <f t="shared" si="133"/>
        <v>#N/A</v>
      </c>
      <c r="O101" s="101" t="e">
        <f t="shared" si="133"/>
        <v>#N/A</v>
      </c>
      <c r="P101" s="101" t="e">
        <f t="shared" si="133"/>
        <v>#N/A</v>
      </c>
      <c r="Q101" s="101" t="e">
        <f t="shared" si="133"/>
        <v>#N/A</v>
      </c>
      <c r="R101" s="101" t="e">
        <f t="shared" si="133"/>
        <v>#N/A</v>
      </c>
      <c r="S101" s="101" t="e">
        <f t="shared" si="133"/>
        <v>#N/A</v>
      </c>
      <c r="T101" s="101" t="e">
        <f t="shared" si="133"/>
        <v>#N/A</v>
      </c>
      <c r="U101" s="101" t="e">
        <f t="shared" si="133"/>
        <v>#N/A</v>
      </c>
      <c r="V101" s="101" t="e">
        <f t="shared" si="133"/>
        <v>#N/A</v>
      </c>
    </row>
    <row r="102" spans="1:22" s="106" customFormat="1">
      <c r="A102" s="102" t="s">
        <v>392</v>
      </c>
      <c r="B102" s="102">
        <f t="shared" ref="B102:V102" si="134">INDEX(Sensibilite_gel_PS,1,B$6)</f>
        <v>2</v>
      </c>
      <c r="C102" s="102">
        <f t="shared" si="134"/>
        <v>3</v>
      </c>
      <c r="D102" s="102">
        <f t="shared" si="134"/>
        <v>2</v>
      </c>
      <c r="E102" s="102">
        <f t="shared" si="134"/>
        <v>3</v>
      </c>
      <c r="F102" s="102">
        <f t="shared" si="134"/>
        <v>2</v>
      </c>
      <c r="G102" s="102">
        <f t="shared" si="134"/>
        <v>3</v>
      </c>
      <c r="H102" s="102">
        <f t="shared" si="134"/>
        <v>3</v>
      </c>
      <c r="I102" s="102">
        <f t="shared" si="134"/>
        <v>4</v>
      </c>
      <c r="J102" s="102">
        <f t="shared" si="134"/>
        <v>1</v>
      </c>
      <c r="K102" s="102">
        <f t="shared" si="134"/>
        <v>2</v>
      </c>
      <c r="L102" s="102">
        <f t="shared" si="134"/>
        <v>4</v>
      </c>
      <c r="M102" s="102">
        <f t="shared" si="134"/>
        <v>3</v>
      </c>
      <c r="N102" s="102">
        <f t="shared" si="134"/>
        <v>3</v>
      </c>
      <c r="O102" s="102">
        <f t="shared" si="134"/>
        <v>4</v>
      </c>
      <c r="P102" s="102">
        <f t="shared" si="134"/>
        <v>4</v>
      </c>
      <c r="Q102" s="102">
        <f t="shared" si="134"/>
        <v>4</v>
      </c>
      <c r="R102" s="102">
        <f t="shared" si="134"/>
        <v>3</v>
      </c>
      <c r="S102" s="102">
        <f t="shared" si="134"/>
        <v>1</v>
      </c>
      <c r="T102" s="102">
        <f t="shared" si="134"/>
        <v>2</v>
      </c>
      <c r="U102" s="102">
        <f t="shared" si="134"/>
        <v>3</v>
      </c>
      <c r="V102" s="102" t="e">
        <f t="shared" si="134"/>
        <v>#N/A</v>
      </c>
    </row>
    <row r="103" spans="1:22" s="106" customFormat="1">
      <c r="A103" s="101" t="s">
        <v>16</v>
      </c>
      <c r="B103" s="101" t="e">
        <f t="shared" ref="B103:V103" si="135">MATCH(Mode_destruction, classes_mode_destruction,0)</f>
        <v>#N/A</v>
      </c>
      <c r="C103" s="101" t="e">
        <f t="shared" si="135"/>
        <v>#N/A</v>
      </c>
      <c r="D103" s="101" t="e">
        <f t="shared" si="135"/>
        <v>#N/A</v>
      </c>
      <c r="E103" s="101" t="e">
        <f t="shared" si="135"/>
        <v>#N/A</v>
      </c>
      <c r="F103" s="101" t="e">
        <f t="shared" si="135"/>
        <v>#N/A</v>
      </c>
      <c r="G103" s="101" t="e">
        <f t="shared" si="135"/>
        <v>#N/A</v>
      </c>
      <c r="H103" s="101" t="e">
        <f t="shared" si="135"/>
        <v>#N/A</v>
      </c>
      <c r="I103" s="101" t="e">
        <f t="shared" si="135"/>
        <v>#N/A</v>
      </c>
      <c r="J103" s="101" t="e">
        <f t="shared" si="135"/>
        <v>#N/A</v>
      </c>
      <c r="K103" s="101" t="e">
        <f t="shared" si="135"/>
        <v>#N/A</v>
      </c>
      <c r="L103" s="101" t="e">
        <f t="shared" si="135"/>
        <v>#N/A</v>
      </c>
      <c r="M103" s="101" t="e">
        <f t="shared" si="135"/>
        <v>#N/A</v>
      </c>
      <c r="N103" s="101" t="e">
        <f t="shared" si="135"/>
        <v>#N/A</v>
      </c>
      <c r="O103" s="101" t="e">
        <f t="shared" si="135"/>
        <v>#N/A</v>
      </c>
      <c r="P103" s="101" t="e">
        <f t="shared" si="135"/>
        <v>#N/A</v>
      </c>
      <c r="Q103" s="101" t="e">
        <f t="shared" si="135"/>
        <v>#N/A</v>
      </c>
      <c r="R103" s="101" t="e">
        <f t="shared" si="135"/>
        <v>#N/A</v>
      </c>
      <c r="S103" s="101" t="e">
        <f t="shared" si="135"/>
        <v>#N/A</v>
      </c>
      <c r="T103" s="101" t="e">
        <f t="shared" si="135"/>
        <v>#N/A</v>
      </c>
      <c r="U103" s="101" t="e">
        <f t="shared" si="135"/>
        <v>#N/A</v>
      </c>
      <c r="V103" s="101" t="e">
        <f t="shared" si="135"/>
        <v>#N/A</v>
      </c>
    </row>
    <row r="104" spans="1:22" s="106" customFormat="1">
      <c r="A104" s="104" t="s">
        <v>462</v>
      </c>
      <c r="B104" s="104" t="e">
        <f t="shared" ref="B104:M104" si="136">VLOOKUP(CONCATENATE(B105,B115),RDD_effet_competition_plante_vivante,2,0)</f>
        <v>#N/A</v>
      </c>
      <c r="C104" s="104" t="e">
        <f t="shared" si="136"/>
        <v>#N/A</v>
      </c>
      <c r="D104" s="104" t="e">
        <f t="shared" si="136"/>
        <v>#N/A</v>
      </c>
      <c r="E104" s="104" t="e">
        <f t="shared" si="136"/>
        <v>#N/A</v>
      </c>
      <c r="F104" s="104" t="e">
        <f t="shared" si="136"/>
        <v>#N/A</v>
      </c>
      <c r="G104" s="104" t="e">
        <f t="shared" si="136"/>
        <v>#N/A</v>
      </c>
      <c r="H104" s="104" t="e">
        <f t="shared" si="136"/>
        <v>#N/A</v>
      </c>
      <c r="I104" s="104" t="e">
        <f t="shared" si="136"/>
        <v>#N/A</v>
      </c>
      <c r="J104" s="104" t="e">
        <f t="shared" si="136"/>
        <v>#N/A</v>
      </c>
      <c r="K104" s="104" t="e">
        <f t="shared" si="136"/>
        <v>#N/A</v>
      </c>
      <c r="L104" s="104" t="e">
        <f t="shared" si="136"/>
        <v>#N/A</v>
      </c>
      <c r="M104" s="104" t="e">
        <f t="shared" si="136"/>
        <v>#N/A</v>
      </c>
      <c r="N104" s="104" t="e">
        <f t="shared" ref="N104:V104" si="137">VLOOKUP(CONCATENATE(N105,N115),RDD_effet_competition_plante_vivante,2,0)</f>
        <v>#N/A</v>
      </c>
      <c r="O104" s="104" t="e">
        <f t="shared" si="137"/>
        <v>#N/A</v>
      </c>
      <c r="P104" s="104" t="e">
        <f t="shared" si="137"/>
        <v>#N/A</v>
      </c>
      <c r="Q104" s="104" t="e">
        <f t="shared" si="137"/>
        <v>#N/A</v>
      </c>
      <c r="R104" s="104" t="e">
        <f t="shared" si="137"/>
        <v>#N/A</v>
      </c>
      <c r="S104" s="104" t="e">
        <f t="shared" si="137"/>
        <v>#N/A</v>
      </c>
      <c r="T104" s="104" t="e">
        <f t="shared" si="137"/>
        <v>#N/A</v>
      </c>
      <c r="U104" s="104" t="e">
        <f t="shared" si="137"/>
        <v>#N/A</v>
      </c>
      <c r="V104" s="104" t="e">
        <f t="shared" si="137"/>
        <v>#N/A</v>
      </c>
    </row>
    <row r="105" spans="1:22" s="104" customFormat="1">
      <c r="A105" s="104" t="s">
        <v>309</v>
      </c>
      <c r="B105" s="104">
        <f t="shared" ref="B105:M105" si="138">VLOOKUP(CONCATENATE(B106,B107,B111),RDD_traits_PS_competition,2,0)</f>
        <v>2</v>
      </c>
      <c r="C105" s="104">
        <f t="shared" si="138"/>
        <v>3</v>
      </c>
      <c r="D105" s="104">
        <f t="shared" si="138"/>
        <v>3</v>
      </c>
      <c r="E105" s="104">
        <f t="shared" si="138"/>
        <v>1</v>
      </c>
      <c r="F105" s="104">
        <f t="shared" si="138"/>
        <v>2</v>
      </c>
      <c r="G105" s="104">
        <f t="shared" si="138"/>
        <v>2</v>
      </c>
      <c r="H105" s="104">
        <f t="shared" si="138"/>
        <v>1</v>
      </c>
      <c r="I105" s="104">
        <f t="shared" si="138"/>
        <v>3</v>
      </c>
      <c r="J105" s="104">
        <f t="shared" si="138"/>
        <v>2</v>
      </c>
      <c r="K105" s="104">
        <f t="shared" si="138"/>
        <v>3</v>
      </c>
      <c r="L105" s="104">
        <f t="shared" si="138"/>
        <v>4</v>
      </c>
      <c r="M105" s="104">
        <f t="shared" si="138"/>
        <v>4</v>
      </c>
      <c r="N105" s="104">
        <f t="shared" ref="N105:V105" si="139">VLOOKUP(CONCATENATE(N106,N107,N111),RDD_traits_PS_competition,2,0)</f>
        <v>2</v>
      </c>
      <c r="O105" s="104">
        <f t="shared" si="139"/>
        <v>3</v>
      </c>
      <c r="P105" s="104">
        <f t="shared" si="139"/>
        <v>4</v>
      </c>
      <c r="Q105" s="104">
        <f t="shared" si="139"/>
        <v>4</v>
      </c>
      <c r="R105" s="104">
        <f t="shared" si="139"/>
        <v>2</v>
      </c>
      <c r="S105" s="104">
        <f t="shared" si="139"/>
        <v>1</v>
      </c>
      <c r="T105" s="104">
        <f t="shared" si="139"/>
        <v>2</v>
      </c>
      <c r="U105" s="104">
        <f t="shared" si="139"/>
        <v>3</v>
      </c>
      <c r="V105" s="104" t="e">
        <f t="shared" si="139"/>
        <v>#N/A</v>
      </c>
    </row>
    <row r="106" spans="1:22" s="102" customFormat="1">
      <c r="A106" s="102" t="str">
        <f t="shared" ref="A106:V106" si="140">INDEX(Allelopathie_PS,1,A$6)</f>
        <v>Allelopathie PS</v>
      </c>
      <c r="B106" s="102">
        <f t="shared" si="140"/>
        <v>1</v>
      </c>
      <c r="C106" s="102">
        <f t="shared" si="140"/>
        <v>2</v>
      </c>
      <c r="D106" s="102">
        <f t="shared" si="140"/>
        <v>2</v>
      </c>
      <c r="E106" s="102">
        <f t="shared" si="140"/>
        <v>1</v>
      </c>
      <c r="F106" s="102">
        <f t="shared" si="140"/>
        <v>1</v>
      </c>
      <c r="G106" s="102">
        <f t="shared" si="140"/>
        <v>1</v>
      </c>
      <c r="H106" s="102">
        <f t="shared" si="140"/>
        <v>1</v>
      </c>
      <c r="I106" s="102">
        <f t="shared" si="140"/>
        <v>2</v>
      </c>
      <c r="J106" s="102">
        <f t="shared" si="140"/>
        <v>1</v>
      </c>
      <c r="K106" s="102">
        <f t="shared" si="140"/>
        <v>1</v>
      </c>
      <c r="L106" s="102">
        <f t="shared" si="140"/>
        <v>1</v>
      </c>
      <c r="M106" s="102">
        <f t="shared" si="140"/>
        <v>1</v>
      </c>
      <c r="N106" s="102">
        <f t="shared" si="140"/>
        <v>1</v>
      </c>
      <c r="O106" s="102">
        <f t="shared" si="140"/>
        <v>1</v>
      </c>
      <c r="P106" s="102">
        <f t="shared" si="140"/>
        <v>2</v>
      </c>
      <c r="Q106" s="102">
        <f t="shared" si="140"/>
        <v>2</v>
      </c>
      <c r="R106" s="102">
        <f t="shared" si="140"/>
        <v>1</v>
      </c>
      <c r="S106" s="102">
        <f t="shared" si="140"/>
        <v>2</v>
      </c>
      <c r="T106" s="102">
        <f t="shared" si="140"/>
        <v>1</v>
      </c>
      <c r="U106" s="102">
        <f t="shared" si="140"/>
        <v>1</v>
      </c>
      <c r="V106" s="102" t="e">
        <f t="shared" si="140"/>
        <v>#N/A</v>
      </c>
    </row>
    <row r="107" spans="1:22" s="104" customFormat="1">
      <c r="A107" s="104" t="s">
        <v>352</v>
      </c>
      <c r="B107" s="104">
        <f t="shared" ref="B107:K107" si="141">VLOOKUP(CONCATENATE(B108,B109,B110),RDD_competition_lumiere,2,0)</f>
        <v>4</v>
      </c>
      <c r="C107" s="104">
        <f t="shared" si="141"/>
        <v>4</v>
      </c>
      <c r="D107" s="104">
        <f t="shared" si="141"/>
        <v>3</v>
      </c>
      <c r="E107" s="104">
        <f t="shared" si="141"/>
        <v>2</v>
      </c>
      <c r="F107" s="104">
        <f t="shared" si="141"/>
        <v>4</v>
      </c>
      <c r="G107" s="104">
        <f t="shared" si="141"/>
        <v>3</v>
      </c>
      <c r="H107" s="104">
        <f t="shared" si="141"/>
        <v>2</v>
      </c>
      <c r="I107" s="104">
        <f t="shared" si="141"/>
        <v>2</v>
      </c>
      <c r="J107" s="104">
        <f t="shared" si="141"/>
        <v>3</v>
      </c>
      <c r="K107" s="104">
        <f t="shared" si="141"/>
        <v>4</v>
      </c>
      <c r="L107" s="104">
        <f t="shared" ref="L107:V107" si="142">VLOOKUP(CONCATENATE(L108,L109,L110),RDD_competition_lumiere,2,0)</f>
        <v>4</v>
      </c>
      <c r="M107" s="104">
        <f t="shared" si="142"/>
        <v>4</v>
      </c>
      <c r="N107" s="104">
        <f t="shared" si="142"/>
        <v>3</v>
      </c>
      <c r="O107" s="104">
        <f t="shared" si="142"/>
        <v>3</v>
      </c>
      <c r="P107" s="104">
        <f t="shared" si="142"/>
        <v>3</v>
      </c>
      <c r="Q107" s="104">
        <f t="shared" si="142"/>
        <v>4</v>
      </c>
      <c r="R107" s="104">
        <f t="shared" si="142"/>
        <v>3</v>
      </c>
      <c r="S107" s="104">
        <f t="shared" si="142"/>
        <v>1</v>
      </c>
      <c r="T107" s="104">
        <f t="shared" si="142"/>
        <v>3</v>
      </c>
      <c r="U107" s="104">
        <f t="shared" si="142"/>
        <v>3</v>
      </c>
      <c r="V107" s="104" t="e">
        <f t="shared" si="142"/>
        <v>#N/A</v>
      </c>
    </row>
    <row r="108" spans="1:22" s="102" customFormat="1">
      <c r="A108" s="102" t="s">
        <v>29</v>
      </c>
      <c r="B108" s="102">
        <f t="shared" ref="B108:V108" si="143">INDEX(Hauteur_PS,1,B$6)</f>
        <v>3</v>
      </c>
      <c r="C108" s="102">
        <f t="shared" si="143"/>
        <v>3</v>
      </c>
      <c r="D108" s="102">
        <f t="shared" si="143"/>
        <v>2</v>
      </c>
      <c r="E108" s="102">
        <f t="shared" si="143"/>
        <v>2</v>
      </c>
      <c r="F108" s="102">
        <f t="shared" si="143"/>
        <v>3</v>
      </c>
      <c r="G108" s="102">
        <f t="shared" si="143"/>
        <v>2</v>
      </c>
      <c r="H108" s="102">
        <f t="shared" si="143"/>
        <v>1</v>
      </c>
      <c r="I108" s="102">
        <f t="shared" si="143"/>
        <v>2</v>
      </c>
      <c r="J108" s="102">
        <f t="shared" si="143"/>
        <v>2</v>
      </c>
      <c r="K108" s="102">
        <f t="shared" si="143"/>
        <v>3</v>
      </c>
      <c r="L108" s="102">
        <f t="shared" si="143"/>
        <v>3</v>
      </c>
      <c r="M108" s="102">
        <f t="shared" si="143"/>
        <v>3</v>
      </c>
      <c r="N108" s="102">
        <f t="shared" si="143"/>
        <v>2</v>
      </c>
      <c r="O108" s="102">
        <f t="shared" si="143"/>
        <v>2</v>
      </c>
      <c r="P108" s="102">
        <f t="shared" si="143"/>
        <v>2</v>
      </c>
      <c r="Q108" s="102">
        <f t="shared" si="143"/>
        <v>3</v>
      </c>
      <c r="R108" s="102">
        <f t="shared" si="143"/>
        <v>2</v>
      </c>
      <c r="S108" s="102">
        <f t="shared" si="143"/>
        <v>1</v>
      </c>
      <c r="T108" s="102">
        <f t="shared" si="143"/>
        <v>2</v>
      </c>
      <c r="U108" s="102">
        <f t="shared" si="143"/>
        <v>2</v>
      </c>
      <c r="V108" s="102" t="e">
        <f t="shared" si="143"/>
        <v>#N/A</v>
      </c>
    </row>
    <row r="109" spans="1:22" s="102" customFormat="1">
      <c r="A109" s="102" t="s">
        <v>31</v>
      </c>
      <c r="B109" s="102">
        <f t="shared" ref="B109:K109" si="144">INDEX(Vitesse_croissance_PS,1,B$6)</f>
        <v>2</v>
      </c>
      <c r="C109" s="102">
        <f t="shared" si="144"/>
        <v>3</v>
      </c>
      <c r="D109" s="102">
        <f t="shared" si="144"/>
        <v>3</v>
      </c>
      <c r="E109" s="102">
        <f t="shared" si="144"/>
        <v>2</v>
      </c>
      <c r="F109" s="102">
        <f t="shared" si="144"/>
        <v>2</v>
      </c>
      <c r="G109" s="102">
        <f t="shared" si="144"/>
        <v>2</v>
      </c>
      <c r="H109" s="102">
        <f t="shared" si="144"/>
        <v>3</v>
      </c>
      <c r="I109" s="102">
        <f t="shared" si="144"/>
        <v>2</v>
      </c>
      <c r="J109" s="102">
        <f t="shared" si="144"/>
        <v>2</v>
      </c>
      <c r="K109" s="102">
        <f t="shared" si="144"/>
        <v>3</v>
      </c>
      <c r="L109" s="102">
        <f t="shared" ref="L109:V109" si="145">INDEX(Vitesse_croissance_PS,1,L$6)</f>
        <v>2</v>
      </c>
      <c r="M109" s="102">
        <f t="shared" si="145"/>
        <v>3</v>
      </c>
      <c r="N109" s="102">
        <f t="shared" si="145"/>
        <v>2</v>
      </c>
      <c r="O109" s="102">
        <f t="shared" si="145"/>
        <v>2</v>
      </c>
      <c r="P109" s="102">
        <f t="shared" si="145"/>
        <v>3</v>
      </c>
      <c r="Q109" s="102">
        <f t="shared" si="145"/>
        <v>2</v>
      </c>
      <c r="R109" s="102">
        <f t="shared" si="145"/>
        <v>2</v>
      </c>
      <c r="S109" s="102">
        <f t="shared" si="145"/>
        <v>1</v>
      </c>
      <c r="T109" s="102">
        <f t="shared" si="145"/>
        <v>2</v>
      </c>
      <c r="U109" s="102">
        <f t="shared" si="145"/>
        <v>3</v>
      </c>
      <c r="V109" s="102" t="e">
        <f t="shared" si="145"/>
        <v>#N/A</v>
      </c>
    </row>
    <row r="110" spans="1:22" s="102" customFormat="1">
      <c r="A110" s="102" t="s">
        <v>330</v>
      </c>
      <c r="B110" s="102">
        <f t="shared" ref="B110:V110" si="146">INDEX(Surface_feuille_PS,1,B$6)</f>
        <v>3</v>
      </c>
      <c r="C110" s="102">
        <f t="shared" si="146"/>
        <v>3</v>
      </c>
      <c r="D110" s="102">
        <f t="shared" si="146"/>
        <v>2</v>
      </c>
      <c r="E110" s="102">
        <f t="shared" si="146"/>
        <v>1</v>
      </c>
      <c r="F110" s="102">
        <f t="shared" si="146"/>
        <v>3</v>
      </c>
      <c r="G110" s="102">
        <f t="shared" si="146"/>
        <v>2</v>
      </c>
      <c r="H110" s="102">
        <f t="shared" si="146"/>
        <v>1</v>
      </c>
      <c r="I110" s="102">
        <f t="shared" si="146"/>
        <v>1</v>
      </c>
      <c r="J110" s="102">
        <f t="shared" si="146"/>
        <v>2</v>
      </c>
      <c r="K110" s="102">
        <f t="shared" si="146"/>
        <v>3</v>
      </c>
      <c r="L110" s="102">
        <f t="shared" si="146"/>
        <v>3</v>
      </c>
      <c r="M110" s="102">
        <f t="shared" si="146"/>
        <v>3</v>
      </c>
      <c r="N110" s="102">
        <f t="shared" si="146"/>
        <v>3</v>
      </c>
      <c r="O110" s="102">
        <f t="shared" si="146"/>
        <v>3</v>
      </c>
      <c r="P110" s="102">
        <f t="shared" si="146"/>
        <v>2</v>
      </c>
      <c r="Q110" s="102">
        <f t="shared" si="146"/>
        <v>3</v>
      </c>
      <c r="R110" s="102">
        <f t="shared" si="146"/>
        <v>2</v>
      </c>
      <c r="S110" s="102">
        <f t="shared" si="146"/>
        <v>1</v>
      </c>
      <c r="T110" s="102">
        <f t="shared" si="146"/>
        <v>2</v>
      </c>
      <c r="U110" s="102">
        <f t="shared" si="146"/>
        <v>2</v>
      </c>
      <c r="V110" s="102" t="e">
        <f t="shared" si="146"/>
        <v>#N/A</v>
      </c>
    </row>
    <row r="111" spans="1:22" s="104" customFormat="1">
      <c r="A111" s="104" t="s">
        <v>351</v>
      </c>
      <c r="B111" s="104">
        <f t="shared" ref="B111:M111" si="147">VLOOKUP(CONCATENATE(B112,B113,B114),RDD_competition_azote,2,0)</f>
        <v>2</v>
      </c>
      <c r="C111" s="104">
        <f t="shared" si="147"/>
        <v>2</v>
      </c>
      <c r="D111" s="104">
        <f t="shared" si="147"/>
        <v>2</v>
      </c>
      <c r="E111" s="104">
        <f t="shared" si="147"/>
        <v>1</v>
      </c>
      <c r="F111" s="104">
        <f t="shared" si="147"/>
        <v>2</v>
      </c>
      <c r="G111" s="104">
        <f t="shared" si="147"/>
        <v>2</v>
      </c>
      <c r="H111" s="104">
        <f t="shared" si="147"/>
        <v>2</v>
      </c>
      <c r="I111" s="104">
        <f t="shared" si="147"/>
        <v>3</v>
      </c>
      <c r="J111" s="104">
        <f t="shared" si="147"/>
        <v>2</v>
      </c>
      <c r="K111" s="104">
        <f t="shared" si="147"/>
        <v>3</v>
      </c>
      <c r="L111" s="104">
        <f t="shared" si="147"/>
        <v>4</v>
      </c>
      <c r="M111" s="104">
        <f t="shared" si="147"/>
        <v>4</v>
      </c>
      <c r="N111" s="104">
        <f t="shared" ref="N111:V111" si="148">VLOOKUP(CONCATENATE(N112,N113,N114),RDD_competition_azote,2,0)</f>
        <v>2</v>
      </c>
      <c r="O111" s="104">
        <f t="shared" si="148"/>
        <v>3</v>
      </c>
      <c r="P111" s="104">
        <f t="shared" si="148"/>
        <v>3</v>
      </c>
      <c r="Q111" s="104">
        <f t="shared" si="148"/>
        <v>4</v>
      </c>
      <c r="R111" s="104">
        <f t="shared" si="148"/>
        <v>2</v>
      </c>
      <c r="S111" s="104">
        <f t="shared" si="148"/>
        <v>1</v>
      </c>
      <c r="T111" s="104">
        <f t="shared" si="148"/>
        <v>1</v>
      </c>
      <c r="U111" s="104">
        <f t="shared" si="148"/>
        <v>3</v>
      </c>
      <c r="V111" s="104" t="e">
        <f t="shared" si="148"/>
        <v>#N/A</v>
      </c>
    </row>
    <row r="112" spans="1:22" s="102" customFormat="1">
      <c r="A112" s="102" t="str">
        <f t="shared" ref="A112:V112" si="149">INDEX(Nitrophilie_PS,1,A$6)</f>
        <v>Nitrophilie PS</v>
      </c>
      <c r="B112" s="102">
        <f t="shared" si="149"/>
        <v>1</v>
      </c>
      <c r="C112" s="102">
        <f t="shared" si="149"/>
        <v>1</v>
      </c>
      <c r="D112" s="102">
        <f t="shared" si="149"/>
        <v>1</v>
      </c>
      <c r="E112" s="102">
        <f t="shared" si="149"/>
        <v>1</v>
      </c>
      <c r="F112" s="102">
        <f t="shared" si="149"/>
        <v>2</v>
      </c>
      <c r="G112" s="102">
        <f t="shared" si="149"/>
        <v>2</v>
      </c>
      <c r="H112" s="102">
        <f t="shared" si="149"/>
        <v>1</v>
      </c>
      <c r="I112" s="102">
        <f t="shared" si="149"/>
        <v>2</v>
      </c>
      <c r="J112" s="102">
        <f t="shared" si="149"/>
        <v>2</v>
      </c>
      <c r="K112" s="102">
        <f t="shared" si="149"/>
        <v>2</v>
      </c>
      <c r="L112" s="102">
        <f t="shared" si="149"/>
        <v>3</v>
      </c>
      <c r="M112" s="102">
        <f t="shared" si="149"/>
        <v>3</v>
      </c>
      <c r="N112" s="102">
        <f t="shared" si="149"/>
        <v>2</v>
      </c>
      <c r="O112" s="102">
        <f t="shared" si="149"/>
        <v>3</v>
      </c>
      <c r="P112" s="102">
        <f t="shared" si="149"/>
        <v>2</v>
      </c>
      <c r="Q112" s="102">
        <f t="shared" si="149"/>
        <v>3</v>
      </c>
      <c r="R112" s="102">
        <f t="shared" si="149"/>
        <v>2</v>
      </c>
      <c r="S112" s="102">
        <f t="shared" si="149"/>
        <v>1</v>
      </c>
      <c r="T112" s="102">
        <f t="shared" si="149"/>
        <v>1</v>
      </c>
      <c r="U112" s="102">
        <f t="shared" si="149"/>
        <v>2</v>
      </c>
      <c r="V112" s="102" t="e">
        <f t="shared" si="149"/>
        <v>#N/A</v>
      </c>
    </row>
    <row r="113" spans="1:22" s="102" customFormat="1">
      <c r="A113" s="102" t="str">
        <f t="shared" ref="A113:V113" si="150">INDEX(PS_fixatrice_N,1,A$6)</f>
        <v>PS fixatrice N</v>
      </c>
      <c r="B113" s="102">
        <f t="shared" si="150"/>
        <v>2</v>
      </c>
      <c r="C113" s="102">
        <f t="shared" si="150"/>
        <v>2</v>
      </c>
      <c r="D113" s="102">
        <f t="shared" si="150"/>
        <v>2</v>
      </c>
      <c r="E113" s="102">
        <f t="shared" si="150"/>
        <v>1</v>
      </c>
      <c r="F113" s="102">
        <f t="shared" si="150"/>
        <v>1</v>
      </c>
      <c r="G113" s="102">
        <f t="shared" si="150"/>
        <v>1</v>
      </c>
      <c r="H113" s="102">
        <f t="shared" si="150"/>
        <v>1</v>
      </c>
      <c r="I113" s="102">
        <f t="shared" si="150"/>
        <v>2</v>
      </c>
      <c r="J113" s="102">
        <f t="shared" si="150"/>
        <v>1</v>
      </c>
      <c r="K113" s="102">
        <f t="shared" si="150"/>
        <v>2</v>
      </c>
      <c r="L113" s="102">
        <f t="shared" si="150"/>
        <v>2</v>
      </c>
      <c r="M113" s="102">
        <f t="shared" si="150"/>
        <v>2</v>
      </c>
      <c r="N113" s="102">
        <f t="shared" si="150"/>
        <v>1</v>
      </c>
      <c r="O113" s="102">
        <f t="shared" si="150"/>
        <v>1</v>
      </c>
      <c r="P113" s="102">
        <f t="shared" si="150"/>
        <v>2</v>
      </c>
      <c r="Q113" s="102">
        <f t="shared" si="150"/>
        <v>2</v>
      </c>
      <c r="R113" s="102">
        <f t="shared" si="150"/>
        <v>1</v>
      </c>
      <c r="S113" s="102">
        <f t="shared" si="150"/>
        <v>1</v>
      </c>
      <c r="T113" s="102">
        <f t="shared" si="150"/>
        <v>1</v>
      </c>
      <c r="U113" s="102">
        <f t="shared" si="150"/>
        <v>1</v>
      </c>
      <c r="V113" s="102" t="e">
        <f t="shared" si="150"/>
        <v>#N/A</v>
      </c>
    </row>
    <row r="114" spans="1:22" s="102" customFormat="1">
      <c r="A114" s="102" t="str">
        <f t="shared" ref="A114:V114" si="151">INDEX(Vitesse_croissance_PS,1,A$6)</f>
        <v>Vitesse croissance PS</v>
      </c>
      <c r="B114" s="102">
        <f t="shared" si="151"/>
        <v>2</v>
      </c>
      <c r="C114" s="102">
        <f t="shared" si="151"/>
        <v>3</v>
      </c>
      <c r="D114" s="102">
        <f t="shared" si="151"/>
        <v>3</v>
      </c>
      <c r="E114" s="102">
        <f t="shared" si="151"/>
        <v>2</v>
      </c>
      <c r="F114" s="102">
        <f t="shared" si="151"/>
        <v>2</v>
      </c>
      <c r="G114" s="102">
        <f t="shared" si="151"/>
        <v>2</v>
      </c>
      <c r="H114" s="102">
        <f t="shared" si="151"/>
        <v>3</v>
      </c>
      <c r="I114" s="102">
        <f t="shared" si="151"/>
        <v>2</v>
      </c>
      <c r="J114" s="102">
        <f t="shared" si="151"/>
        <v>2</v>
      </c>
      <c r="K114" s="102">
        <f t="shared" si="151"/>
        <v>3</v>
      </c>
      <c r="L114" s="102">
        <f t="shared" si="151"/>
        <v>2</v>
      </c>
      <c r="M114" s="102">
        <f t="shared" si="151"/>
        <v>3</v>
      </c>
      <c r="N114" s="102">
        <f t="shared" si="151"/>
        <v>2</v>
      </c>
      <c r="O114" s="102">
        <f t="shared" si="151"/>
        <v>2</v>
      </c>
      <c r="P114" s="102">
        <f t="shared" si="151"/>
        <v>3</v>
      </c>
      <c r="Q114" s="102">
        <f t="shared" si="151"/>
        <v>2</v>
      </c>
      <c r="R114" s="102">
        <f t="shared" si="151"/>
        <v>2</v>
      </c>
      <c r="S114" s="102">
        <f t="shared" si="151"/>
        <v>1</v>
      </c>
      <c r="T114" s="102">
        <f t="shared" si="151"/>
        <v>2</v>
      </c>
      <c r="U114" s="102">
        <f t="shared" si="151"/>
        <v>3</v>
      </c>
      <c r="V114" s="102" t="e">
        <f t="shared" si="151"/>
        <v>#N/A</v>
      </c>
    </row>
    <row r="115" spans="1:22" s="106" customFormat="1">
      <c r="A115" s="103" t="s">
        <v>355</v>
      </c>
      <c r="B115" s="104" t="e">
        <f>B$8</f>
        <v>#N/A</v>
      </c>
      <c r="C115" s="104" t="e">
        <f t="shared" ref="C115:V117" si="152">C$8</f>
        <v>#N/A</v>
      </c>
      <c r="D115" s="104" t="e">
        <f t="shared" si="152"/>
        <v>#N/A</v>
      </c>
      <c r="E115" s="104" t="e">
        <f t="shared" si="152"/>
        <v>#N/A</v>
      </c>
      <c r="F115" s="104" t="e">
        <f t="shared" si="152"/>
        <v>#N/A</v>
      </c>
      <c r="G115" s="104" t="e">
        <f t="shared" si="152"/>
        <v>#N/A</v>
      </c>
      <c r="H115" s="104" t="e">
        <f t="shared" si="152"/>
        <v>#N/A</v>
      </c>
      <c r="I115" s="104" t="e">
        <f t="shared" si="152"/>
        <v>#N/A</v>
      </c>
      <c r="J115" s="104" t="e">
        <f t="shared" si="152"/>
        <v>#N/A</v>
      </c>
      <c r="K115" s="104" t="e">
        <f t="shared" si="152"/>
        <v>#N/A</v>
      </c>
      <c r="L115" s="104" t="e">
        <f t="shared" si="152"/>
        <v>#N/A</v>
      </c>
      <c r="M115" s="104" t="e">
        <f t="shared" si="152"/>
        <v>#N/A</v>
      </c>
      <c r="N115" s="104" t="e">
        <f t="shared" si="152"/>
        <v>#N/A</v>
      </c>
      <c r="O115" s="104" t="e">
        <f t="shared" si="152"/>
        <v>#N/A</v>
      </c>
      <c r="P115" s="104" t="e">
        <f t="shared" si="152"/>
        <v>#N/A</v>
      </c>
      <c r="Q115" s="104" t="e">
        <f t="shared" si="152"/>
        <v>#N/A</v>
      </c>
      <c r="R115" s="104" t="e">
        <f t="shared" si="152"/>
        <v>#N/A</v>
      </c>
      <c r="S115" s="104" t="e">
        <f t="shared" si="152"/>
        <v>#N/A</v>
      </c>
      <c r="T115" s="104" t="e">
        <f t="shared" si="152"/>
        <v>#N/A</v>
      </c>
      <c r="U115" s="104" t="e">
        <f t="shared" si="152"/>
        <v>#N/A</v>
      </c>
      <c r="V115" s="104" t="e">
        <f t="shared" si="152"/>
        <v>#N/A</v>
      </c>
    </row>
    <row r="116" spans="1:22" s="106" customFormat="1">
      <c r="A116" s="104" t="s">
        <v>459</v>
      </c>
      <c r="B116" s="104" t="e">
        <f t="shared" ref="B116:M116" si="153">VLOOKUP(CONCATENATE(B117,B118),RDD_effet_mulch_PS_gelee,2,0)</f>
        <v>#N/A</v>
      </c>
      <c r="C116" s="104" t="e">
        <f t="shared" si="153"/>
        <v>#N/A</v>
      </c>
      <c r="D116" s="104" t="e">
        <f t="shared" si="153"/>
        <v>#N/A</v>
      </c>
      <c r="E116" s="104" t="e">
        <f t="shared" si="153"/>
        <v>#N/A</v>
      </c>
      <c r="F116" s="104" t="e">
        <f t="shared" si="153"/>
        <v>#N/A</v>
      </c>
      <c r="G116" s="104" t="e">
        <f t="shared" si="153"/>
        <v>#N/A</v>
      </c>
      <c r="H116" s="104" t="e">
        <f t="shared" si="153"/>
        <v>#N/A</v>
      </c>
      <c r="I116" s="104" t="e">
        <f t="shared" si="153"/>
        <v>#N/A</v>
      </c>
      <c r="J116" s="104" t="e">
        <f t="shared" si="153"/>
        <v>#N/A</v>
      </c>
      <c r="K116" s="104" t="e">
        <f t="shared" si="153"/>
        <v>#N/A</v>
      </c>
      <c r="L116" s="104" t="e">
        <f t="shared" si="153"/>
        <v>#N/A</v>
      </c>
      <c r="M116" s="104" t="e">
        <f t="shared" si="153"/>
        <v>#N/A</v>
      </c>
      <c r="N116" s="104" t="e">
        <f t="shared" ref="N116:V116" si="154">VLOOKUP(CONCATENATE(N117,N118),RDD_effet_mulch_PS_gelee,2,0)</f>
        <v>#N/A</v>
      </c>
      <c r="O116" s="104" t="e">
        <f t="shared" si="154"/>
        <v>#N/A</v>
      </c>
      <c r="P116" s="104" t="e">
        <f t="shared" si="154"/>
        <v>#N/A</v>
      </c>
      <c r="Q116" s="104" t="e">
        <f t="shared" si="154"/>
        <v>#N/A</v>
      </c>
      <c r="R116" s="104" t="e">
        <f t="shared" si="154"/>
        <v>#N/A</v>
      </c>
      <c r="S116" s="104" t="e">
        <f t="shared" si="154"/>
        <v>#N/A</v>
      </c>
      <c r="T116" s="104" t="e">
        <f t="shared" si="154"/>
        <v>#N/A</v>
      </c>
      <c r="U116" s="104" t="e">
        <f t="shared" si="154"/>
        <v>#N/A</v>
      </c>
      <c r="V116" s="104" t="e">
        <f t="shared" si="154"/>
        <v>#N/A</v>
      </c>
    </row>
    <row r="117" spans="1:22" s="106" customFormat="1">
      <c r="A117" s="103" t="s">
        <v>355</v>
      </c>
      <c r="B117" s="104" t="e">
        <f>B$8</f>
        <v>#N/A</v>
      </c>
      <c r="C117" s="104" t="e">
        <f t="shared" si="152"/>
        <v>#N/A</v>
      </c>
      <c r="D117" s="104" t="e">
        <f t="shared" si="152"/>
        <v>#N/A</v>
      </c>
      <c r="E117" s="104" t="e">
        <f t="shared" si="152"/>
        <v>#N/A</v>
      </c>
      <c r="F117" s="104" t="e">
        <f t="shared" si="152"/>
        <v>#N/A</v>
      </c>
      <c r="G117" s="104" t="e">
        <f t="shared" si="152"/>
        <v>#N/A</v>
      </c>
      <c r="H117" s="104" t="e">
        <f t="shared" si="152"/>
        <v>#N/A</v>
      </c>
      <c r="I117" s="104" t="e">
        <f t="shared" si="152"/>
        <v>#N/A</v>
      </c>
      <c r="J117" s="104" t="e">
        <f t="shared" si="152"/>
        <v>#N/A</v>
      </c>
      <c r="K117" s="104" t="e">
        <f t="shared" si="152"/>
        <v>#N/A</v>
      </c>
      <c r="L117" s="104" t="e">
        <f t="shared" si="152"/>
        <v>#N/A</v>
      </c>
      <c r="M117" s="104" t="e">
        <f t="shared" si="152"/>
        <v>#N/A</v>
      </c>
      <c r="N117" s="104" t="e">
        <f t="shared" si="152"/>
        <v>#N/A</v>
      </c>
      <c r="O117" s="104" t="e">
        <f t="shared" si="152"/>
        <v>#N/A</v>
      </c>
      <c r="P117" s="104" t="e">
        <f t="shared" si="152"/>
        <v>#N/A</v>
      </c>
      <c r="Q117" s="104" t="e">
        <f t="shared" si="152"/>
        <v>#N/A</v>
      </c>
      <c r="R117" s="104" t="e">
        <f t="shared" si="152"/>
        <v>#N/A</v>
      </c>
      <c r="S117" s="104" t="e">
        <f t="shared" si="152"/>
        <v>#N/A</v>
      </c>
      <c r="T117" s="104" t="e">
        <f t="shared" si="152"/>
        <v>#N/A</v>
      </c>
      <c r="U117" s="104" t="e">
        <f t="shared" si="152"/>
        <v>#N/A</v>
      </c>
      <c r="V117" s="104" t="e">
        <f t="shared" si="152"/>
        <v>#N/A</v>
      </c>
    </row>
    <row r="118" spans="1:22" s="106" customFormat="1">
      <c r="A118" s="104" t="s">
        <v>457</v>
      </c>
      <c r="B118" s="104">
        <f t="shared" ref="B118:M118" si="155">VLOOKUP(CONCATENATE(B119,B120),RDD_traits_PS_effet_mulch,2,0)</f>
        <v>3</v>
      </c>
      <c r="C118" s="104">
        <f t="shared" si="155"/>
        <v>3</v>
      </c>
      <c r="D118" s="104">
        <f t="shared" si="155"/>
        <v>3</v>
      </c>
      <c r="E118" s="104">
        <f t="shared" si="155"/>
        <v>1</v>
      </c>
      <c r="F118" s="104">
        <f t="shared" si="155"/>
        <v>1</v>
      </c>
      <c r="G118" s="104">
        <f t="shared" si="155"/>
        <v>3</v>
      </c>
      <c r="H118" s="104">
        <f t="shared" si="155"/>
        <v>3</v>
      </c>
      <c r="I118" s="104">
        <f t="shared" si="155"/>
        <v>2</v>
      </c>
      <c r="J118" s="104">
        <f t="shared" si="155"/>
        <v>1</v>
      </c>
      <c r="K118" s="104">
        <f t="shared" si="155"/>
        <v>3</v>
      </c>
      <c r="L118" s="104">
        <f t="shared" si="155"/>
        <v>3</v>
      </c>
      <c r="M118" s="104">
        <f t="shared" si="155"/>
        <v>1</v>
      </c>
      <c r="N118" s="104">
        <f t="shared" ref="N118:V118" si="156">VLOOKUP(CONCATENATE(N119,N120),RDD_traits_PS_effet_mulch,2,0)</f>
        <v>2</v>
      </c>
      <c r="O118" s="104">
        <f t="shared" si="156"/>
        <v>3</v>
      </c>
      <c r="P118" s="104">
        <f t="shared" si="156"/>
        <v>3</v>
      </c>
      <c r="Q118" s="104">
        <f t="shared" si="156"/>
        <v>3</v>
      </c>
      <c r="R118" s="104">
        <f t="shared" si="156"/>
        <v>2</v>
      </c>
      <c r="S118" s="104">
        <f t="shared" si="156"/>
        <v>3</v>
      </c>
      <c r="T118" s="104">
        <f t="shared" si="156"/>
        <v>3</v>
      </c>
      <c r="U118" s="104">
        <f t="shared" si="156"/>
        <v>3</v>
      </c>
      <c r="V118" s="104" t="e">
        <f t="shared" si="156"/>
        <v>#N/A</v>
      </c>
    </row>
    <row r="119" spans="1:22" s="106" customFormat="1">
      <c r="A119" s="102" t="str">
        <f t="shared" ref="A119:V119" si="157">INDEX(Biomasse_morte_contact_sol_PS,1,A$6)</f>
        <v>Biomasse PS morte en contact au sol</v>
      </c>
      <c r="B119" s="102">
        <f t="shared" si="157"/>
        <v>3</v>
      </c>
      <c r="C119" s="102">
        <f t="shared" si="157"/>
        <v>3</v>
      </c>
      <c r="D119" s="102">
        <f t="shared" si="157"/>
        <v>2</v>
      </c>
      <c r="E119" s="102">
        <f t="shared" si="157"/>
        <v>1</v>
      </c>
      <c r="F119" s="102">
        <f t="shared" si="157"/>
        <v>1</v>
      </c>
      <c r="G119" s="102">
        <f t="shared" si="157"/>
        <v>3</v>
      </c>
      <c r="H119" s="102">
        <f t="shared" si="157"/>
        <v>3</v>
      </c>
      <c r="I119" s="102">
        <f t="shared" si="157"/>
        <v>1</v>
      </c>
      <c r="J119" s="102">
        <f t="shared" si="157"/>
        <v>1</v>
      </c>
      <c r="K119" s="102">
        <f t="shared" si="157"/>
        <v>3</v>
      </c>
      <c r="L119" s="102">
        <f t="shared" si="157"/>
        <v>3</v>
      </c>
      <c r="M119" s="102">
        <f t="shared" si="157"/>
        <v>1</v>
      </c>
      <c r="N119" s="102">
        <f t="shared" si="157"/>
        <v>2</v>
      </c>
      <c r="O119" s="102">
        <f t="shared" si="157"/>
        <v>3</v>
      </c>
      <c r="P119" s="102">
        <f t="shared" si="157"/>
        <v>2</v>
      </c>
      <c r="Q119" s="102">
        <f t="shared" si="157"/>
        <v>2</v>
      </c>
      <c r="R119" s="102">
        <f t="shared" si="157"/>
        <v>2</v>
      </c>
      <c r="S119" s="102">
        <f t="shared" si="157"/>
        <v>3</v>
      </c>
      <c r="T119" s="102">
        <f t="shared" si="157"/>
        <v>3</v>
      </c>
      <c r="U119" s="102">
        <f t="shared" si="157"/>
        <v>3</v>
      </c>
      <c r="V119" s="102" t="e">
        <f t="shared" si="157"/>
        <v>#N/A</v>
      </c>
    </row>
    <row r="120" spans="1:22" s="102" customFormat="1">
      <c r="A120" s="102" t="str">
        <f t="shared" ref="A120:V120" si="158">INDEX(Allelopathie_PS,1,A$6)</f>
        <v>Allelopathie PS</v>
      </c>
      <c r="B120" s="102">
        <f t="shared" si="158"/>
        <v>1</v>
      </c>
      <c r="C120" s="102">
        <f t="shared" si="158"/>
        <v>2</v>
      </c>
      <c r="D120" s="102">
        <f t="shared" si="158"/>
        <v>2</v>
      </c>
      <c r="E120" s="102">
        <f t="shared" si="158"/>
        <v>1</v>
      </c>
      <c r="F120" s="102">
        <f t="shared" si="158"/>
        <v>1</v>
      </c>
      <c r="G120" s="102">
        <f t="shared" si="158"/>
        <v>1</v>
      </c>
      <c r="H120" s="102">
        <f t="shared" si="158"/>
        <v>1</v>
      </c>
      <c r="I120" s="102">
        <f t="shared" si="158"/>
        <v>2</v>
      </c>
      <c r="J120" s="102">
        <f t="shared" si="158"/>
        <v>1</v>
      </c>
      <c r="K120" s="102">
        <f t="shared" si="158"/>
        <v>1</v>
      </c>
      <c r="L120" s="102">
        <f t="shared" si="158"/>
        <v>1</v>
      </c>
      <c r="M120" s="102">
        <f t="shared" si="158"/>
        <v>1</v>
      </c>
      <c r="N120" s="102">
        <f t="shared" si="158"/>
        <v>1</v>
      </c>
      <c r="O120" s="102">
        <f t="shared" si="158"/>
        <v>1</v>
      </c>
      <c r="P120" s="102">
        <f t="shared" si="158"/>
        <v>2</v>
      </c>
      <c r="Q120" s="102">
        <f t="shared" si="158"/>
        <v>2</v>
      </c>
      <c r="R120" s="102">
        <f t="shared" si="158"/>
        <v>1</v>
      </c>
      <c r="S120" s="102">
        <f t="shared" si="158"/>
        <v>2</v>
      </c>
      <c r="T120" s="102">
        <f t="shared" si="158"/>
        <v>1</v>
      </c>
      <c r="U120" s="102">
        <f t="shared" si="158"/>
        <v>1</v>
      </c>
      <c r="V120" s="102" t="e">
        <f t="shared" si="158"/>
        <v>#N/A</v>
      </c>
    </row>
    <row r="121" spans="1:22" s="106" customFormat="1">
      <c r="A121" s="123" t="s">
        <v>452</v>
      </c>
      <c r="B121" s="104" t="e">
        <f t="shared" ref="B121:M121" si="159">VLOOKUP(CONCATENATE(B122,B123),RDD_regulation_orobanche,2,0)</f>
        <v>#N/A</v>
      </c>
      <c r="C121" s="104" t="e">
        <f t="shared" si="159"/>
        <v>#N/A</v>
      </c>
      <c r="D121" s="104" t="e">
        <f t="shared" si="159"/>
        <v>#N/A</v>
      </c>
      <c r="E121" s="104" t="e">
        <f t="shared" si="159"/>
        <v>#N/A</v>
      </c>
      <c r="F121" s="104" t="e">
        <f t="shared" si="159"/>
        <v>#N/A</v>
      </c>
      <c r="G121" s="104" t="e">
        <f t="shared" si="159"/>
        <v>#N/A</v>
      </c>
      <c r="H121" s="104" t="e">
        <f t="shared" si="159"/>
        <v>#N/A</v>
      </c>
      <c r="I121" s="104" t="e">
        <f t="shared" si="159"/>
        <v>#N/A</v>
      </c>
      <c r="J121" s="104" t="e">
        <f t="shared" si="159"/>
        <v>#N/A</v>
      </c>
      <c r="K121" s="104" t="e">
        <f t="shared" si="159"/>
        <v>#N/A</v>
      </c>
      <c r="L121" s="104" t="e">
        <f t="shared" si="159"/>
        <v>#N/A</v>
      </c>
      <c r="M121" s="104" t="e">
        <f t="shared" si="159"/>
        <v>#N/A</v>
      </c>
      <c r="N121" s="104" t="e">
        <f t="shared" ref="N121:V121" si="160">VLOOKUP(CONCATENATE(N122,N123),RDD_regulation_orobanche,2,0)</f>
        <v>#N/A</v>
      </c>
      <c r="O121" s="104" t="e">
        <f t="shared" si="160"/>
        <v>#N/A</v>
      </c>
      <c r="P121" s="104" t="e">
        <f t="shared" si="160"/>
        <v>#N/A</v>
      </c>
      <c r="Q121" s="104" t="e">
        <f t="shared" si="160"/>
        <v>#N/A</v>
      </c>
      <c r="R121" s="104" t="e">
        <f t="shared" si="160"/>
        <v>#N/A</v>
      </c>
      <c r="S121" s="104" t="e">
        <f t="shared" si="160"/>
        <v>#N/A</v>
      </c>
      <c r="T121" s="104" t="e">
        <f t="shared" si="160"/>
        <v>#N/A</v>
      </c>
      <c r="U121" s="104" t="e">
        <f t="shared" si="160"/>
        <v>#N/A</v>
      </c>
      <c r="V121" s="104" t="e">
        <f t="shared" si="160"/>
        <v>#N/A</v>
      </c>
    </row>
    <row r="122" spans="1:22" s="102" customFormat="1">
      <c r="A122" s="102" t="s">
        <v>37</v>
      </c>
      <c r="B122" s="102">
        <f t="shared" ref="B122:V122" si="161">INDEX(Capacite_germination_orobanche_PS,1,B$6)</f>
        <v>1</v>
      </c>
      <c r="C122" s="102">
        <f t="shared" si="161"/>
        <v>1</v>
      </c>
      <c r="D122" s="102">
        <f t="shared" si="161"/>
        <v>1</v>
      </c>
      <c r="E122" s="102">
        <f t="shared" si="161"/>
        <v>1</v>
      </c>
      <c r="F122" s="102">
        <f t="shared" si="161"/>
        <v>1</v>
      </c>
      <c r="G122" s="102">
        <f t="shared" si="161"/>
        <v>1</v>
      </c>
      <c r="H122" s="102">
        <f t="shared" si="161"/>
        <v>1</v>
      </c>
      <c r="I122" s="102">
        <f t="shared" si="161"/>
        <v>2</v>
      </c>
      <c r="J122" s="102">
        <f t="shared" si="161"/>
        <v>1</v>
      </c>
      <c r="K122" s="102">
        <f t="shared" si="161"/>
        <v>1</v>
      </c>
      <c r="L122" s="102">
        <f t="shared" si="161"/>
        <v>1</v>
      </c>
      <c r="M122" s="102">
        <f t="shared" si="161"/>
        <v>1</v>
      </c>
      <c r="N122" s="102">
        <f t="shared" si="161"/>
        <v>1</v>
      </c>
      <c r="O122" s="102">
        <f t="shared" si="161"/>
        <v>1</v>
      </c>
      <c r="P122" s="102">
        <f t="shared" si="161"/>
        <v>1</v>
      </c>
      <c r="Q122" s="102">
        <f t="shared" si="161"/>
        <v>2</v>
      </c>
      <c r="R122" s="102">
        <f t="shared" si="161"/>
        <v>1</v>
      </c>
      <c r="S122" s="102">
        <f t="shared" si="161"/>
        <v>1</v>
      </c>
      <c r="T122" s="102">
        <f t="shared" si="161"/>
        <v>1</v>
      </c>
      <c r="U122" s="102">
        <f t="shared" si="161"/>
        <v>1</v>
      </c>
      <c r="V122" s="102" t="e">
        <f t="shared" si="161"/>
        <v>#N/A</v>
      </c>
    </row>
    <row r="123" spans="1:22" s="106" customFormat="1">
      <c r="A123" s="101" t="s">
        <v>453</v>
      </c>
      <c r="B123" s="101" t="e">
        <f t="shared" ref="B123:V123" si="162">MATCH(Presence_orobanche,Classes_presence_orobanche,0)</f>
        <v>#N/A</v>
      </c>
      <c r="C123" s="101" t="e">
        <f t="shared" si="162"/>
        <v>#N/A</v>
      </c>
      <c r="D123" s="101" t="e">
        <f t="shared" si="162"/>
        <v>#N/A</v>
      </c>
      <c r="E123" s="101" t="e">
        <f t="shared" si="162"/>
        <v>#N/A</v>
      </c>
      <c r="F123" s="101" t="e">
        <f t="shared" si="162"/>
        <v>#N/A</v>
      </c>
      <c r="G123" s="101" t="e">
        <f t="shared" si="162"/>
        <v>#N/A</v>
      </c>
      <c r="H123" s="101" t="e">
        <f t="shared" si="162"/>
        <v>#N/A</v>
      </c>
      <c r="I123" s="101" t="e">
        <f t="shared" si="162"/>
        <v>#N/A</v>
      </c>
      <c r="J123" s="101" t="e">
        <f t="shared" si="162"/>
        <v>#N/A</v>
      </c>
      <c r="K123" s="101" t="e">
        <f t="shared" si="162"/>
        <v>#N/A</v>
      </c>
      <c r="L123" s="101" t="e">
        <f t="shared" si="162"/>
        <v>#N/A</v>
      </c>
      <c r="M123" s="101" t="e">
        <f t="shared" si="162"/>
        <v>#N/A</v>
      </c>
      <c r="N123" s="101" t="e">
        <f t="shared" si="162"/>
        <v>#N/A</v>
      </c>
      <c r="O123" s="101" t="e">
        <f t="shared" si="162"/>
        <v>#N/A</v>
      </c>
      <c r="P123" s="101" t="e">
        <f t="shared" si="162"/>
        <v>#N/A</v>
      </c>
      <c r="Q123" s="101" t="e">
        <f t="shared" si="162"/>
        <v>#N/A</v>
      </c>
      <c r="R123" s="101" t="e">
        <f t="shared" si="162"/>
        <v>#N/A</v>
      </c>
      <c r="S123" s="101" t="e">
        <f t="shared" si="162"/>
        <v>#N/A</v>
      </c>
      <c r="T123" s="101" t="e">
        <f t="shared" si="162"/>
        <v>#N/A</v>
      </c>
      <c r="U123" s="101" t="e">
        <f t="shared" si="162"/>
        <v>#N/A</v>
      </c>
      <c r="V123" s="101" t="e">
        <f t="shared" si="162"/>
        <v>#N/A</v>
      </c>
    </row>
    <row r="124" spans="1:22" s="106" customFormat="1">
      <c r="A124" s="123" t="s">
        <v>446</v>
      </c>
      <c r="B124" s="104" t="e">
        <f t="shared" ref="B124:M124" si="163">VLOOKUP(CONCATENATE(B125,B126,B127),RDD_recolte_grain_automne,2,0)</f>
        <v>#N/A</v>
      </c>
      <c r="C124" s="104" t="e">
        <f t="shared" si="163"/>
        <v>#N/A</v>
      </c>
      <c r="D124" s="104" t="e">
        <f t="shared" si="163"/>
        <v>#N/A</v>
      </c>
      <c r="E124" s="104" t="e">
        <f t="shared" si="163"/>
        <v>#N/A</v>
      </c>
      <c r="F124" s="104" t="e">
        <f t="shared" si="163"/>
        <v>#N/A</v>
      </c>
      <c r="G124" s="104" t="e">
        <f t="shared" si="163"/>
        <v>#N/A</v>
      </c>
      <c r="H124" s="104" t="e">
        <f t="shared" si="163"/>
        <v>#N/A</v>
      </c>
      <c r="I124" s="104" t="e">
        <f t="shared" si="163"/>
        <v>#N/A</v>
      </c>
      <c r="J124" s="104" t="e">
        <f t="shared" si="163"/>
        <v>#N/A</v>
      </c>
      <c r="K124" s="104" t="e">
        <f t="shared" si="163"/>
        <v>#N/A</v>
      </c>
      <c r="L124" s="104" t="e">
        <f t="shared" si="163"/>
        <v>#N/A</v>
      </c>
      <c r="M124" s="104" t="e">
        <f t="shared" si="163"/>
        <v>#N/A</v>
      </c>
      <c r="N124" s="104" t="e">
        <f t="shared" ref="N124:V124" si="164">VLOOKUP(CONCATENATE(N125,N126,N127),RDD_recolte_grain_automne,2,0)</f>
        <v>#N/A</v>
      </c>
      <c r="O124" s="104" t="e">
        <f t="shared" si="164"/>
        <v>#N/A</v>
      </c>
      <c r="P124" s="104" t="e">
        <f t="shared" si="164"/>
        <v>#N/A</v>
      </c>
      <c r="Q124" s="104" t="e">
        <f t="shared" si="164"/>
        <v>#N/A</v>
      </c>
      <c r="R124" s="104" t="e">
        <f t="shared" si="164"/>
        <v>#N/A</v>
      </c>
      <c r="S124" s="104" t="e">
        <f t="shared" si="164"/>
        <v>#N/A</v>
      </c>
      <c r="T124" s="104" t="e">
        <f t="shared" si="164"/>
        <v>#N/A</v>
      </c>
      <c r="U124" s="104" t="e">
        <f t="shared" si="164"/>
        <v>#N/A</v>
      </c>
      <c r="V124" s="104" t="e">
        <f t="shared" si="164"/>
        <v>#N/A</v>
      </c>
    </row>
    <row r="125" spans="1:22" s="101" customFormat="1">
      <c r="A125" s="101" t="s">
        <v>6</v>
      </c>
      <c r="B125" s="101" t="e">
        <f t="shared" ref="B125:V125" si="165">MATCH(date_semis,Classes_Date_semis,0)</f>
        <v>#N/A</v>
      </c>
      <c r="C125" s="101" t="e">
        <f t="shared" si="165"/>
        <v>#N/A</v>
      </c>
      <c r="D125" s="101" t="e">
        <f t="shared" si="165"/>
        <v>#N/A</v>
      </c>
      <c r="E125" s="101" t="e">
        <f t="shared" si="165"/>
        <v>#N/A</v>
      </c>
      <c r="F125" s="101" t="e">
        <f t="shared" si="165"/>
        <v>#N/A</v>
      </c>
      <c r="G125" s="101" t="e">
        <f t="shared" si="165"/>
        <v>#N/A</v>
      </c>
      <c r="H125" s="101" t="e">
        <f t="shared" si="165"/>
        <v>#N/A</v>
      </c>
      <c r="I125" s="101" t="e">
        <f t="shared" si="165"/>
        <v>#N/A</v>
      </c>
      <c r="J125" s="101" t="e">
        <f t="shared" si="165"/>
        <v>#N/A</v>
      </c>
      <c r="K125" s="101" t="e">
        <f t="shared" si="165"/>
        <v>#N/A</v>
      </c>
      <c r="L125" s="101" t="e">
        <f t="shared" si="165"/>
        <v>#N/A</v>
      </c>
      <c r="M125" s="101" t="e">
        <f t="shared" si="165"/>
        <v>#N/A</v>
      </c>
      <c r="N125" s="101" t="e">
        <f t="shared" si="165"/>
        <v>#N/A</v>
      </c>
      <c r="O125" s="101" t="e">
        <f t="shared" si="165"/>
        <v>#N/A</v>
      </c>
      <c r="P125" s="101" t="e">
        <f t="shared" si="165"/>
        <v>#N/A</v>
      </c>
      <c r="Q125" s="101" t="e">
        <f t="shared" si="165"/>
        <v>#N/A</v>
      </c>
      <c r="R125" s="101" t="e">
        <f t="shared" si="165"/>
        <v>#N/A</v>
      </c>
      <c r="S125" s="101" t="e">
        <f t="shared" si="165"/>
        <v>#N/A</v>
      </c>
      <c r="T125" s="101" t="e">
        <f t="shared" si="165"/>
        <v>#N/A</v>
      </c>
      <c r="U125" s="101" t="e">
        <f t="shared" si="165"/>
        <v>#N/A</v>
      </c>
      <c r="V125" s="101" t="e">
        <f t="shared" si="165"/>
        <v>#N/A</v>
      </c>
    </row>
    <row r="126" spans="1:22" s="106" customFormat="1">
      <c r="A126" s="102" t="s">
        <v>38</v>
      </c>
      <c r="B126" s="102">
        <f t="shared" ref="B126:V126" si="166">INDEX(Longueur_cycle_PS,1,B$6)</f>
        <v>2</v>
      </c>
      <c r="C126" s="102">
        <f t="shared" si="166"/>
        <v>2</v>
      </c>
      <c r="D126" s="102">
        <f t="shared" si="166"/>
        <v>1</v>
      </c>
      <c r="E126" s="102">
        <f t="shared" si="166"/>
        <v>2</v>
      </c>
      <c r="F126" s="102">
        <f t="shared" si="166"/>
        <v>2</v>
      </c>
      <c r="G126" s="102">
        <f t="shared" si="166"/>
        <v>2</v>
      </c>
      <c r="H126" s="102">
        <f t="shared" si="166"/>
        <v>2</v>
      </c>
      <c r="I126" s="102">
        <f t="shared" si="166"/>
        <v>1</v>
      </c>
      <c r="J126" s="102">
        <f t="shared" si="166"/>
        <v>1</v>
      </c>
      <c r="K126" s="102">
        <f t="shared" si="166"/>
        <v>1</v>
      </c>
      <c r="L126" s="102">
        <f t="shared" si="166"/>
        <v>3</v>
      </c>
      <c r="M126" s="102">
        <f t="shared" si="166"/>
        <v>3</v>
      </c>
      <c r="N126" s="102">
        <f t="shared" si="166"/>
        <v>2</v>
      </c>
      <c r="O126" s="102">
        <f t="shared" si="166"/>
        <v>3</v>
      </c>
      <c r="P126" s="102">
        <f t="shared" si="166"/>
        <v>3</v>
      </c>
      <c r="Q126" s="102">
        <f t="shared" si="166"/>
        <v>1</v>
      </c>
      <c r="R126" s="102">
        <f t="shared" si="166"/>
        <v>2</v>
      </c>
      <c r="S126" s="102">
        <f t="shared" si="166"/>
        <v>1</v>
      </c>
      <c r="T126" s="102">
        <f t="shared" si="166"/>
        <v>2</v>
      </c>
      <c r="U126" s="102">
        <f t="shared" si="166"/>
        <v>2</v>
      </c>
      <c r="V126" s="102" t="e">
        <f t="shared" si="166"/>
        <v>#N/A</v>
      </c>
    </row>
    <row r="127" spans="1:22" s="106" customFormat="1">
      <c r="A127" s="104" t="s">
        <v>447</v>
      </c>
      <c r="B127" s="104" t="e">
        <f t="shared" ref="B127:V127" si="167">VLOOKUP(B128,RDD_reliquat_semis,2,0)</f>
        <v>#N/A</v>
      </c>
      <c r="C127" s="104" t="e">
        <f t="shared" si="167"/>
        <v>#N/A</v>
      </c>
      <c r="D127" s="104" t="e">
        <f t="shared" si="167"/>
        <v>#N/A</v>
      </c>
      <c r="E127" s="104" t="e">
        <f t="shared" si="167"/>
        <v>#N/A</v>
      </c>
      <c r="F127" s="104" t="e">
        <f t="shared" si="167"/>
        <v>#N/A</v>
      </c>
      <c r="G127" s="104" t="e">
        <f t="shared" si="167"/>
        <v>#N/A</v>
      </c>
      <c r="H127" s="104" t="e">
        <f t="shared" si="167"/>
        <v>#N/A</v>
      </c>
      <c r="I127" s="104" t="e">
        <f t="shared" si="167"/>
        <v>#N/A</v>
      </c>
      <c r="J127" s="104" t="e">
        <f t="shared" si="167"/>
        <v>#N/A</v>
      </c>
      <c r="K127" s="104" t="e">
        <f t="shared" si="167"/>
        <v>#N/A</v>
      </c>
      <c r="L127" s="104" t="e">
        <f t="shared" si="167"/>
        <v>#N/A</v>
      </c>
      <c r="M127" s="104" t="e">
        <f t="shared" si="167"/>
        <v>#N/A</v>
      </c>
      <c r="N127" s="104" t="e">
        <f t="shared" si="167"/>
        <v>#N/A</v>
      </c>
      <c r="O127" s="104" t="e">
        <f t="shared" si="167"/>
        <v>#N/A</v>
      </c>
      <c r="P127" s="104" t="e">
        <f t="shared" si="167"/>
        <v>#N/A</v>
      </c>
      <c r="Q127" s="104" t="e">
        <f t="shared" si="167"/>
        <v>#N/A</v>
      </c>
      <c r="R127" s="104" t="e">
        <f t="shared" si="167"/>
        <v>#N/A</v>
      </c>
      <c r="S127" s="104" t="e">
        <f t="shared" si="167"/>
        <v>#N/A</v>
      </c>
      <c r="T127" s="104" t="e">
        <f t="shared" si="167"/>
        <v>#N/A</v>
      </c>
      <c r="U127" s="104" t="e">
        <f t="shared" si="167"/>
        <v>#N/A</v>
      </c>
      <c r="V127" s="104" t="e">
        <f t="shared" si="167"/>
        <v>#N/A</v>
      </c>
    </row>
    <row r="128" spans="1:22" s="101" customFormat="1">
      <c r="A128" s="101" t="s">
        <v>323</v>
      </c>
      <c r="B128" s="101" t="e">
        <f t="shared" ref="B128:V128" si="168">MATCH(Disponibilite_N_semis,Classes_Disponibilite_N_Semis,0)</f>
        <v>#N/A</v>
      </c>
      <c r="C128" s="101" t="e">
        <f t="shared" si="168"/>
        <v>#N/A</v>
      </c>
      <c r="D128" s="101" t="e">
        <f t="shared" si="168"/>
        <v>#N/A</v>
      </c>
      <c r="E128" s="101" t="e">
        <f t="shared" si="168"/>
        <v>#N/A</v>
      </c>
      <c r="F128" s="101" t="e">
        <f t="shared" si="168"/>
        <v>#N/A</v>
      </c>
      <c r="G128" s="101" t="e">
        <f t="shared" si="168"/>
        <v>#N/A</v>
      </c>
      <c r="H128" s="101" t="e">
        <f t="shared" si="168"/>
        <v>#N/A</v>
      </c>
      <c r="I128" s="101" t="e">
        <f t="shared" si="168"/>
        <v>#N/A</v>
      </c>
      <c r="J128" s="101" t="e">
        <f t="shared" si="168"/>
        <v>#N/A</v>
      </c>
      <c r="K128" s="101" t="e">
        <f t="shared" si="168"/>
        <v>#N/A</v>
      </c>
      <c r="L128" s="101" t="e">
        <f t="shared" si="168"/>
        <v>#N/A</v>
      </c>
      <c r="M128" s="101" t="e">
        <f t="shared" si="168"/>
        <v>#N/A</v>
      </c>
      <c r="N128" s="101" t="e">
        <f t="shared" si="168"/>
        <v>#N/A</v>
      </c>
      <c r="O128" s="101" t="e">
        <f t="shared" si="168"/>
        <v>#N/A</v>
      </c>
      <c r="P128" s="101" t="e">
        <f t="shared" si="168"/>
        <v>#N/A</v>
      </c>
      <c r="Q128" s="101" t="e">
        <f t="shared" si="168"/>
        <v>#N/A</v>
      </c>
      <c r="R128" s="101" t="e">
        <f t="shared" si="168"/>
        <v>#N/A</v>
      </c>
      <c r="S128" s="101" t="e">
        <f t="shared" si="168"/>
        <v>#N/A</v>
      </c>
      <c r="T128" s="101" t="e">
        <f t="shared" si="168"/>
        <v>#N/A</v>
      </c>
      <c r="U128" s="101" t="e">
        <f t="shared" si="168"/>
        <v>#N/A</v>
      </c>
      <c r="V128" s="101" t="e">
        <f t="shared" si="168"/>
        <v>#N/A</v>
      </c>
    </row>
    <row r="129" spans="1:22" s="106" customFormat="1">
      <c r="A129" s="123" t="s">
        <v>443</v>
      </c>
      <c r="B129" s="104" t="e">
        <f t="shared" ref="B129:K129" si="169">VLOOKUP(CONCATENATE(B130,B131),RDD_recolte_grain_ete,2,0)</f>
        <v>#N/A</v>
      </c>
      <c r="C129" s="104" t="e">
        <f t="shared" si="169"/>
        <v>#N/A</v>
      </c>
      <c r="D129" s="104" t="e">
        <f t="shared" si="169"/>
        <v>#N/A</v>
      </c>
      <c r="E129" s="104" t="e">
        <f t="shared" si="169"/>
        <v>#N/A</v>
      </c>
      <c r="F129" s="104" t="e">
        <f t="shared" si="169"/>
        <v>#N/A</v>
      </c>
      <c r="G129" s="104" t="e">
        <f t="shared" si="169"/>
        <v>#N/A</v>
      </c>
      <c r="H129" s="104" t="e">
        <f t="shared" si="169"/>
        <v>#N/A</v>
      </c>
      <c r="I129" s="104" t="e">
        <f t="shared" si="169"/>
        <v>#N/A</v>
      </c>
      <c r="J129" s="104" t="e">
        <f t="shared" si="169"/>
        <v>#N/A</v>
      </c>
      <c r="K129" s="104" t="e">
        <f t="shared" si="169"/>
        <v>#N/A</v>
      </c>
      <c r="L129" s="104" t="e">
        <f t="shared" ref="L129:V129" si="170">VLOOKUP(CONCATENATE(L130,L131),RDD_recolte_grain_ete,2,0)</f>
        <v>#N/A</v>
      </c>
      <c r="M129" s="104" t="e">
        <f t="shared" si="170"/>
        <v>#N/A</v>
      </c>
      <c r="N129" s="104" t="e">
        <f t="shared" si="170"/>
        <v>#N/A</v>
      </c>
      <c r="O129" s="104" t="e">
        <f t="shared" si="170"/>
        <v>#N/A</v>
      </c>
      <c r="P129" s="104" t="e">
        <f t="shared" si="170"/>
        <v>#N/A</v>
      </c>
      <c r="Q129" s="104" t="e">
        <f t="shared" si="170"/>
        <v>#N/A</v>
      </c>
      <c r="R129" s="104" t="e">
        <f t="shared" si="170"/>
        <v>#N/A</v>
      </c>
      <c r="S129" s="104" t="e">
        <f t="shared" si="170"/>
        <v>#N/A</v>
      </c>
      <c r="T129" s="104" t="e">
        <f t="shared" si="170"/>
        <v>#N/A</v>
      </c>
      <c r="U129" s="104" t="e">
        <f t="shared" si="170"/>
        <v>#N/A</v>
      </c>
      <c r="V129" s="104" t="e">
        <f t="shared" si="170"/>
        <v>#N/A</v>
      </c>
    </row>
    <row r="130" spans="1:22" s="106" customFormat="1">
      <c r="A130" s="102" t="s">
        <v>38</v>
      </c>
      <c r="B130" s="102">
        <f t="shared" ref="B130:V130" si="171">INDEX(Longueur_cycle_PS,1,B$6)</f>
        <v>2</v>
      </c>
      <c r="C130" s="102">
        <f t="shared" si="171"/>
        <v>2</v>
      </c>
      <c r="D130" s="102">
        <f t="shared" si="171"/>
        <v>1</v>
      </c>
      <c r="E130" s="102">
        <f t="shared" si="171"/>
        <v>2</v>
      </c>
      <c r="F130" s="102">
        <f t="shared" si="171"/>
        <v>2</v>
      </c>
      <c r="G130" s="102">
        <f t="shared" si="171"/>
        <v>2</v>
      </c>
      <c r="H130" s="102">
        <f t="shared" si="171"/>
        <v>2</v>
      </c>
      <c r="I130" s="102">
        <f t="shared" si="171"/>
        <v>1</v>
      </c>
      <c r="J130" s="102">
        <f t="shared" si="171"/>
        <v>1</v>
      </c>
      <c r="K130" s="102">
        <f t="shared" si="171"/>
        <v>1</v>
      </c>
      <c r="L130" s="102">
        <f t="shared" si="171"/>
        <v>3</v>
      </c>
      <c r="M130" s="102">
        <f t="shared" si="171"/>
        <v>3</v>
      </c>
      <c r="N130" s="102">
        <f t="shared" si="171"/>
        <v>2</v>
      </c>
      <c r="O130" s="102">
        <f t="shared" si="171"/>
        <v>3</v>
      </c>
      <c r="P130" s="102">
        <f t="shared" si="171"/>
        <v>3</v>
      </c>
      <c r="Q130" s="102">
        <f t="shared" si="171"/>
        <v>1</v>
      </c>
      <c r="R130" s="102">
        <f t="shared" si="171"/>
        <v>2</v>
      </c>
      <c r="S130" s="102">
        <f t="shared" si="171"/>
        <v>1</v>
      </c>
      <c r="T130" s="102">
        <f t="shared" si="171"/>
        <v>2</v>
      </c>
      <c r="U130" s="102">
        <f t="shared" si="171"/>
        <v>2</v>
      </c>
      <c r="V130" s="102" t="e">
        <f t="shared" si="171"/>
        <v>#N/A</v>
      </c>
    </row>
    <row r="131" spans="1:22" s="106" customFormat="1">
      <c r="A131" s="104" t="s">
        <v>438</v>
      </c>
      <c r="B131" s="104" t="e">
        <f t="shared" ref="B131:M131" si="172">VLOOKUP(CONCATENATE(B132,B135),RDD_destruction_PS,2,0)</f>
        <v>#N/A</v>
      </c>
      <c r="C131" s="104" t="e">
        <f t="shared" si="172"/>
        <v>#N/A</v>
      </c>
      <c r="D131" s="104" t="e">
        <f t="shared" si="172"/>
        <v>#N/A</v>
      </c>
      <c r="E131" s="104" t="e">
        <f t="shared" si="172"/>
        <v>#N/A</v>
      </c>
      <c r="F131" s="104" t="e">
        <f t="shared" si="172"/>
        <v>#N/A</v>
      </c>
      <c r="G131" s="104" t="e">
        <f t="shared" si="172"/>
        <v>#N/A</v>
      </c>
      <c r="H131" s="104" t="e">
        <f t="shared" si="172"/>
        <v>#N/A</v>
      </c>
      <c r="I131" s="104" t="e">
        <f t="shared" si="172"/>
        <v>#N/A</v>
      </c>
      <c r="J131" s="104" t="e">
        <f t="shared" si="172"/>
        <v>#N/A</v>
      </c>
      <c r="K131" s="104" t="e">
        <f t="shared" si="172"/>
        <v>#N/A</v>
      </c>
      <c r="L131" s="104" t="e">
        <f t="shared" si="172"/>
        <v>#N/A</v>
      </c>
      <c r="M131" s="104" t="e">
        <f t="shared" si="172"/>
        <v>#N/A</v>
      </c>
      <c r="N131" s="104" t="e">
        <f t="shared" ref="N131:V131" si="173">VLOOKUP(CONCATENATE(N132,N135),RDD_destruction_PS,2,0)</f>
        <v>#N/A</v>
      </c>
      <c r="O131" s="104" t="e">
        <f t="shared" si="173"/>
        <v>#N/A</v>
      </c>
      <c r="P131" s="104" t="e">
        <f t="shared" si="173"/>
        <v>#N/A</v>
      </c>
      <c r="Q131" s="104" t="e">
        <f t="shared" si="173"/>
        <v>#N/A</v>
      </c>
      <c r="R131" s="104" t="e">
        <f t="shared" si="173"/>
        <v>#N/A</v>
      </c>
      <c r="S131" s="104" t="e">
        <f t="shared" si="173"/>
        <v>#N/A</v>
      </c>
      <c r="T131" s="104" t="e">
        <f t="shared" si="173"/>
        <v>#N/A</v>
      </c>
      <c r="U131" s="104" t="e">
        <f t="shared" si="173"/>
        <v>#N/A</v>
      </c>
      <c r="V131" s="104" t="e">
        <f t="shared" si="173"/>
        <v>#N/A</v>
      </c>
    </row>
    <row r="132" spans="1:22" s="106" customFormat="1">
      <c r="A132" s="104" t="s">
        <v>221</v>
      </c>
      <c r="B132" s="104" t="e">
        <f t="shared" ref="B132:M132" si="174">VLOOKUP(CONCATENATE(B133,B134),RDD_destruction_par_gel,2,0)</f>
        <v>#N/A</v>
      </c>
      <c r="C132" s="104" t="e">
        <f t="shared" si="174"/>
        <v>#N/A</v>
      </c>
      <c r="D132" s="104" t="e">
        <f t="shared" si="174"/>
        <v>#N/A</v>
      </c>
      <c r="E132" s="104" t="e">
        <f t="shared" si="174"/>
        <v>#N/A</v>
      </c>
      <c r="F132" s="104" t="e">
        <f t="shared" si="174"/>
        <v>#N/A</v>
      </c>
      <c r="G132" s="104" t="e">
        <f t="shared" si="174"/>
        <v>#N/A</v>
      </c>
      <c r="H132" s="104" t="e">
        <f t="shared" si="174"/>
        <v>#N/A</v>
      </c>
      <c r="I132" s="104" t="e">
        <f t="shared" si="174"/>
        <v>#N/A</v>
      </c>
      <c r="J132" s="104" t="e">
        <f t="shared" si="174"/>
        <v>#N/A</v>
      </c>
      <c r="K132" s="104" t="e">
        <f t="shared" si="174"/>
        <v>#N/A</v>
      </c>
      <c r="L132" s="104" t="e">
        <f t="shared" si="174"/>
        <v>#N/A</v>
      </c>
      <c r="M132" s="104" t="e">
        <f t="shared" si="174"/>
        <v>#N/A</v>
      </c>
      <c r="N132" s="104" t="e">
        <f t="shared" ref="N132:V132" si="175">VLOOKUP(CONCATENATE(N133,N134),RDD_destruction_par_gel,2,0)</f>
        <v>#N/A</v>
      </c>
      <c r="O132" s="104" t="e">
        <f t="shared" si="175"/>
        <v>#N/A</v>
      </c>
      <c r="P132" s="104" t="e">
        <f t="shared" si="175"/>
        <v>#N/A</v>
      </c>
      <c r="Q132" s="104" t="e">
        <f t="shared" si="175"/>
        <v>#N/A</v>
      </c>
      <c r="R132" s="104" t="e">
        <f t="shared" si="175"/>
        <v>#N/A</v>
      </c>
      <c r="S132" s="104" t="e">
        <f t="shared" si="175"/>
        <v>#N/A</v>
      </c>
      <c r="T132" s="104" t="e">
        <f t="shared" si="175"/>
        <v>#N/A</v>
      </c>
      <c r="U132" s="104" t="e">
        <f t="shared" si="175"/>
        <v>#N/A</v>
      </c>
      <c r="V132" s="104" t="e">
        <f t="shared" si="175"/>
        <v>#N/A</v>
      </c>
    </row>
    <row r="133" spans="1:22" s="106" customFormat="1">
      <c r="A133" s="101" t="s">
        <v>341</v>
      </c>
      <c r="B133" s="101" t="e">
        <f t="shared" ref="B133:V133" si="176">MATCH(Frequence_gel, Classes_frequence_gel,0)</f>
        <v>#N/A</v>
      </c>
      <c r="C133" s="101" t="e">
        <f t="shared" si="176"/>
        <v>#N/A</v>
      </c>
      <c r="D133" s="101" t="e">
        <f t="shared" si="176"/>
        <v>#N/A</v>
      </c>
      <c r="E133" s="101" t="e">
        <f t="shared" si="176"/>
        <v>#N/A</v>
      </c>
      <c r="F133" s="101" t="e">
        <f t="shared" si="176"/>
        <v>#N/A</v>
      </c>
      <c r="G133" s="101" t="e">
        <f t="shared" si="176"/>
        <v>#N/A</v>
      </c>
      <c r="H133" s="101" t="e">
        <f t="shared" si="176"/>
        <v>#N/A</v>
      </c>
      <c r="I133" s="101" t="e">
        <f t="shared" si="176"/>
        <v>#N/A</v>
      </c>
      <c r="J133" s="101" t="e">
        <f t="shared" si="176"/>
        <v>#N/A</v>
      </c>
      <c r="K133" s="101" t="e">
        <f t="shared" si="176"/>
        <v>#N/A</v>
      </c>
      <c r="L133" s="101" t="e">
        <f t="shared" si="176"/>
        <v>#N/A</v>
      </c>
      <c r="M133" s="101" t="e">
        <f t="shared" si="176"/>
        <v>#N/A</v>
      </c>
      <c r="N133" s="101" t="e">
        <f t="shared" si="176"/>
        <v>#N/A</v>
      </c>
      <c r="O133" s="101" t="e">
        <f t="shared" si="176"/>
        <v>#N/A</v>
      </c>
      <c r="P133" s="101" t="e">
        <f t="shared" si="176"/>
        <v>#N/A</v>
      </c>
      <c r="Q133" s="101" t="e">
        <f t="shared" si="176"/>
        <v>#N/A</v>
      </c>
      <c r="R133" s="101" t="e">
        <f t="shared" si="176"/>
        <v>#N/A</v>
      </c>
      <c r="S133" s="101" t="e">
        <f t="shared" si="176"/>
        <v>#N/A</v>
      </c>
      <c r="T133" s="101" t="e">
        <f t="shared" si="176"/>
        <v>#N/A</v>
      </c>
      <c r="U133" s="101" t="e">
        <f t="shared" si="176"/>
        <v>#N/A</v>
      </c>
      <c r="V133" s="101" t="e">
        <f t="shared" si="176"/>
        <v>#N/A</v>
      </c>
    </row>
    <row r="134" spans="1:22" s="106" customFormat="1">
      <c r="A134" s="102" t="s">
        <v>392</v>
      </c>
      <c r="B134" s="102">
        <f t="shared" ref="B134:V134" si="177">INDEX(Sensibilite_gel_PS,1,B$6)</f>
        <v>2</v>
      </c>
      <c r="C134" s="102">
        <f t="shared" si="177"/>
        <v>3</v>
      </c>
      <c r="D134" s="102">
        <f t="shared" si="177"/>
        <v>2</v>
      </c>
      <c r="E134" s="102">
        <f t="shared" si="177"/>
        <v>3</v>
      </c>
      <c r="F134" s="102">
        <f t="shared" si="177"/>
        <v>2</v>
      </c>
      <c r="G134" s="102">
        <f t="shared" si="177"/>
        <v>3</v>
      </c>
      <c r="H134" s="102">
        <f t="shared" si="177"/>
        <v>3</v>
      </c>
      <c r="I134" s="102">
        <f t="shared" si="177"/>
        <v>4</v>
      </c>
      <c r="J134" s="102">
        <f t="shared" si="177"/>
        <v>1</v>
      </c>
      <c r="K134" s="102">
        <f t="shared" si="177"/>
        <v>2</v>
      </c>
      <c r="L134" s="102">
        <f t="shared" si="177"/>
        <v>4</v>
      </c>
      <c r="M134" s="102">
        <f t="shared" si="177"/>
        <v>3</v>
      </c>
      <c r="N134" s="102">
        <f t="shared" si="177"/>
        <v>3</v>
      </c>
      <c r="O134" s="102">
        <f t="shared" si="177"/>
        <v>4</v>
      </c>
      <c r="P134" s="102">
        <f t="shared" si="177"/>
        <v>4</v>
      </c>
      <c r="Q134" s="102">
        <f t="shared" si="177"/>
        <v>4</v>
      </c>
      <c r="R134" s="102">
        <f t="shared" si="177"/>
        <v>3</v>
      </c>
      <c r="S134" s="102">
        <f t="shared" si="177"/>
        <v>1</v>
      </c>
      <c r="T134" s="102">
        <f t="shared" si="177"/>
        <v>2</v>
      </c>
      <c r="U134" s="102">
        <f t="shared" si="177"/>
        <v>3</v>
      </c>
      <c r="V134" s="102" t="e">
        <f t="shared" si="177"/>
        <v>#N/A</v>
      </c>
    </row>
    <row r="135" spans="1:22" s="106" customFormat="1">
      <c r="A135" s="101" t="s">
        <v>16</v>
      </c>
      <c r="B135" s="101" t="e">
        <f t="shared" ref="B135:V135" si="178">MATCH(Mode_destruction, classes_mode_destruction,0)</f>
        <v>#N/A</v>
      </c>
      <c r="C135" s="101" t="e">
        <f t="shared" si="178"/>
        <v>#N/A</v>
      </c>
      <c r="D135" s="101" t="e">
        <f t="shared" si="178"/>
        <v>#N/A</v>
      </c>
      <c r="E135" s="101" t="e">
        <f t="shared" si="178"/>
        <v>#N/A</v>
      </c>
      <c r="F135" s="101" t="e">
        <f t="shared" si="178"/>
        <v>#N/A</v>
      </c>
      <c r="G135" s="101" t="e">
        <f t="shared" si="178"/>
        <v>#N/A</v>
      </c>
      <c r="H135" s="101" t="e">
        <f t="shared" si="178"/>
        <v>#N/A</v>
      </c>
      <c r="I135" s="101" t="e">
        <f t="shared" si="178"/>
        <v>#N/A</v>
      </c>
      <c r="J135" s="101" t="e">
        <f t="shared" si="178"/>
        <v>#N/A</v>
      </c>
      <c r="K135" s="101" t="e">
        <f t="shared" si="178"/>
        <v>#N/A</v>
      </c>
      <c r="L135" s="101" t="e">
        <f t="shared" si="178"/>
        <v>#N/A</v>
      </c>
      <c r="M135" s="101" t="e">
        <f t="shared" si="178"/>
        <v>#N/A</v>
      </c>
      <c r="N135" s="101" t="e">
        <f t="shared" si="178"/>
        <v>#N/A</v>
      </c>
      <c r="O135" s="101" t="e">
        <f t="shared" si="178"/>
        <v>#N/A</v>
      </c>
      <c r="P135" s="101" t="e">
        <f t="shared" si="178"/>
        <v>#N/A</v>
      </c>
      <c r="Q135" s="101" t="e">
        <f t="shared" si="178"/>
        <v>#N/A</v>
      </c>
      <c r="R135" s="101" t="e">
        <f t="shared" si="178"/>
        <v>#N/A</v>
      </c>
      <c r="S135" s="101" t="e">
        <f t="shared" si="178"/>
        <v>#N/A</v>
      </c>
      <c r="T135" s="101" t="e">
        <f t="shared" si="178"/>
        <v>#N/A</v>
      </c>
      <c r="U135" s="101" t="e">
        <f t="shared" si="178"/>
        <v>#N/A</v>
      </c>
      <c r="V135" s="101" t="e">
        <f t="shared" si="178"/>
        <v>#N/A</v>
      </c>
    </row>
    <row r="136" spans="1:22" s="106" customFormat="1">
      <c r="A136" s="123" t="s">
        <v>437</v>
      </c>
      <c r="B136" s="104" t="e">
        <f t="shared" ref="B136:M136" si="179">VLOOKUP(CONCATENATE(B137,B138,B143),RDD_recolte_fourrage,2,0)</f>
        <v>#N/A</v>
      </c>
      <c r="C136" s="104" t="e">
        <f t="shared" si="179"/>
        <v>#N/A</v>
      </c>
      <c r="D136" s="104" t="e">
        <f t="shared" si="179"/>
        <v>#N/A</v>
      </c>
      <c r="E136" s="104" t="e">
        <f t="shared" si="179"/>
        <v>#N/A</v>
      </c>
      <c r="F136" s="104" t="e">
        <f t="shared" si="179"/>
        <v>#N/A</v>
      </c>
      <c r="G136" s="104" t="e">
        <f t="shared" si="179"/>
        <v>#N/A</v>
      </c>
      <c r="H136" s="104" t="e">
        <f t="shared" si="179"/>
        <v>#N/A</v>
      </c>
      <c r="I136" s="104" t="e">
        <f t="shared" si="179"/>
        <v>#N/A</v>
      </c>
      <c r="J136" s="104" t="e">
        <f t="shared" si="179"/>
        <v>#N/A</v>
      </c>
      <c r="K136" s="104" t="e">
        <f t="shared" si="179"/>
        <v>#N/A</v>
      </c>
      <c r="L136" s="104" t="e">
        <f t="shared" si="179"/>
        <v>#N/A</v>
      </c>
      <c r="M136" s="104" t="e">
        <f t="shared" si="179"/>
        <v>#N/A</v>
      </c>
      <c r="N136" s="104" t="e">
        <f t="shared" ref="N136:V136" si="180">VLOOKUP(CONCATENATE(N137,N138,N143),RDD_recolte_fourrage,2,0)</f>
        <v>#N/A</v>
      </c>
      <c r="O136" s="104" t="e">
        <f t="shared" si="180"/>
        <v>#N/A</v>
      </c>
      <c r="P136" s="104" t="e">
        <f t="shared" si="180"/>
        <v>#N/A</v>
      </c>
      <c r="Q136" s="104" t="e">
        <f t="shared" si="180"/>
        <v>#N/A</v>
      </c>
      <c r="R136" s="104" t="e">
        <f t="shared" si="180"/>
        <v>#N/A</v>
      </c>
      <c r="S136" s="104" t="e">
        <f t="shared" si="180"/>
        <v>#N/A</v>
      </c>
      <c r="T136" s="104" t="e">
        <f t="shared" si="180"/>
        <v>#N/A</v>
      </c>
      <c r="U136" s="104" t="e">
        <f t="shared" si="180"/>
        <v>#N/A</v>
      </c>
      <c r="V136" s="104" t="e">
        <f t="shared" si="180"/>
        <v>#N/A</v>
      </c>
    </row>
    <row r="137" spans="1:22" s="102" customFormat="1">
      <c r="A137" s="102" t="s">
        <v>38</v>
      </c>
      <c r="B137" s="102">
        <f t="shared" ref="B137:V137" si="181">INDEX(Longueur_cycle_PS,1,B$6)</f>
        <v>2</v>
      </c>
      <c r="C137" s="102">
        <f t="shared" si="181"/>
        <v>2</v>
      </c>
      <c r="D137" s="102">
        <f t="shared" si="181"/>
        <v>1</v>
      </c>
      <c r="E137" s="102">
        <f t="shared" si="181"/>
        <v>2</v>
      </c>
      <c r="F137" s="102">
        <f t="shared" si="181"/>
        <v>2</v>
      </c>
      <c r="G137" s="102">
        <f t="shared" si="181"/>
        <v>2</v>
      </c>
      <c r="H137" s="102">
        <f t="shared" si="181"/>
        <v>2</v>
      </c>
      <c r="I137" s="102">
        <f t="shared" si="181"/>
        <v>1</v>
      </c>
      <c r="J137" s="102">
        <f t="shared" si="181"/>
        <v>1</v>
      </c>
      <c r="K137" s="102">
        <f t="shared" si="181"/>
        <v>1</v>
      </c>
      <c r="L137" s="102">
        <f t="shared" si="181"/>
        <v>3</v>
      </c>
      <c r="M137" s="102">
        <f t="shared" si="181"/>
        <v>3</v>
      </c>
      <c r="N137" s="102">
        <f t="shared" si="181"/>
        <v>2</v>
      </c>
      <c r="O137" s="102">
        <f t="shared" si="181"/>
        <v>3</v>
      </c>
      <c r="P137" s="102">
        <f t="shared" si="181"/>
        <v>3</v>
      </c>
      <c r="Q137" s="102">
        <f t="shared" si="181"/>
        <v>1</v>
      </c>
      <c r="R137" s="102">
        <f t="shared" si="181"/>
        <v>2</v>
      </c>
      <c r="S137" s="102">
        <f t="shared" si="181"/>
        <v>1</v>
      </c>
      <c r="T137" s="102">
        <f t="shared" si="181"/>
        <v>2</v>
      </c>
      <c r="U137" s="102">
        <f t="shared" si="181"/>
        <v>2</v>
      </c>
      <c r="V137" s="102" t="e">
        <f t="shared" si="181"/>
        <v>#N/A</v>
      </c>
    </row>
    <row r="138" spans="1:22" s="106" customFormat="1">
      <c r="A138" s="104" t="s">
        <v>438</v>
      </c>
      <c r="B138" s="104" t="e">
        <f t="shared" ref="B138:M138" si="182">VLOOKUP(CONCATENATE(B139,B142),RDD_destruction_PS,2,0)</f>
        <v>#N/A</v>
      </c>
      <c r="C138" s="104" t="e">
        <f t="shared" si="182"/>
        <v>#N/A</v>
      </c>
      <c r="D138" s="104" t="e">
        <f t="shared" si="182"/>
        <v>#N/A</v>
      </c>
      <c r="E138" s="104" t="e">
        <f t="shared" si="182"/>
        <v>#N/A</v>
      </c>
      <c r="F138" s="104" t="e">
        <f t="shared" si="182"/>
        <v>#N/A</v>
      </c>
      <c r="G138" s="104" t="e">
        <f t="shared" si="182"/>
        <v>#N/A</v>
      </c>
      <c r="H138" s="104" t="e">
        <f t="shared" si="182"/>
        <v>#N/A</v>
      </c>
      <c r="I138" s="104" t="e">
        <f t="shared" si="182"/>
        <v>#N/A</v>
      </c>
      <c r="J138" s="104" t="e">
        <f t="shared" si="182"/>
        <v>#N/A</v>
      </c>
      <c r="K138" s="104" t="e">
        <f t="shared" si="182"/>
        <v>#N/A</v>
      </c>
      <c r="L138" s="104" t="e">
        <f t="shared" si="182"/>
        <v>#N/A</v>
      </c>
      <c r="M138" s="104" t="e">
        <f t="shared" si="182"/>
        <v>#N/A</v>
      </c>
      <c r="N138" s="104" t="e">
        <f t="shared" ref="N138:V138" si="183">VLOOKUP(CONCATENATE(N139,N142),RDD_destruction_PS,2,0)</f>
        <v>#N/A</v>
      </c>
      <c r="O138" s="104" t="e">
        <f t="shared" si="183"/>
        <v>#N/A</v>
      </c>
      <c r="P138" s="104" t="e">
        <f t="shared" si="183"/>
        <v>#N/A</v>
      </c>
      <c r="Q138" s="104" t="e">
        <f t="shared" si="183"/>
        <v>#N/A</v>
      </c>
      <c r="R138" s="104" t="e">
        <f t="shared" si="183"/>
        <v>#N/A</v>
      </c>
      <c r="S138" s="104" t="e">
        <f t="shared" si="183"/>
        <v>#N/A</v>
      </c>
      <c r="T138" s="104" t="e">
        <f t="shared" si="183"/>
        <v>#N/A</v>
      </c>
      <c r="U138" s="104" t="e">
        <f t="shared" si="183"/>
        <v>#N/A</v>
      </c>
      <c r="V138" s="104" t="e">
        <f t="shared" si="183"/>
        <v>#N/A</v>
      </c>
    </row>
    <row r="139" spans="1:22" s="106" customFormat="1">
      <c r="A139" s="104" t="s">
        <v>221</v>
      </c>
      <c r="B139" s="104" t="e">
        <f t="shared" ref="B139:M139" si="184">VLOOKUP(CONCATENATE(B140,B141),RDD_destruction_par_gel,2,0)</f>
        <v>#N/A</v>
      </c>
      <c r="C139" s="104" t="e">
        <f t="shared" si="184"/>
        <v>#N/A</v>
      </c>
      <c r="D139" s="104" t="e">
        <f t="shared" si="184"/>
        <v>#N/A</v>
      </c>
      <c r="E139" s="104" t="e">
        <f t="shared" si="184"/>
        <v>#N/A</v>
      </c>
      <c r="F139" s="104" t="e">
        <f t="shared" si="184"/>
        <v>#N/A</v>
      </c>
      <c r="G139" s="104" t="e">
        <f t="shared" si="184"/>
        <v>#N/A</v>
      </c>
      <c r="H139" s="104" t="e">
        <f t="shared" si="184"/>
        <v>#N/A</v>
      </c>
      <c r="I139" s="104" t="e">
        <f t="shared" si="184"/>
        <v>#N/A</v>
      </c>
      <c r="J139" s="104" t="e">
        <f t="shared" si="184"/>
        <v>#N/A</v>
      </c>
      <c r="K139" s="104" t="e">
        <f t="shared" si="184"/>
        <v>#N/A</v>
      </c>
      <c r="L139" s="104" t="e">
        <f t="shared" si="184"/>
        <v>#N/A</v>
      </c>
      <c r="M139" s="104" t="e">
        <f t="shared" si="184"/>
        <v>#N/A</v>
      </c>
      <c r="N139" s="104" t="e">
        <f t="shared" ref="N139:V139" si="185">VLOOKUP(CONCATENATE(N140,N141),RDD_destruction_par_gel,2,0)</f>
        <v>#N/A</v>
      </c>
      <c r="O139" s="104" t="e">
        <f t="shared" si="185"/>
        <v>#N/A</v>
      </c>
      <c r="P139" s="104" t="e">
        <f t="shared" si="185"/>
        <v>#N/A</v>
      </c>
      <c r="Q139" s="104" t="e">
        <f t="shared" si="185"/>
        <v>#N/A</v>
      </c>
      <c r="R139" s="104" t="e">
        <f t="shared" si="185"/>
        <v>#N/A</v>
      </c>
      <c r="S139" s="104" t="e">
        <f t="shared" si="185"/>
        <v>#N/A</v>
      </c>
      <c r="T139" s="104" t="e">
        <f t="shared" si="185"/>
        <v>#N/A</v>
      </c>
      <c r="U139" s="104" t="e">
        <f t="shared" si="185"/>
        <v>#N/A</v>
      </c>
      <c r="V139" s="104" t="e">
        <f t="shared" si="185"/>
        <v>#N/A</v>
      </c>
    </row>
    <row r="140" spans="1:22">
      <c r="A140" s="101" t="s">
        <v>341</v>
      </c>
      <c r="B140" s="101" t="e">
        <f t="shared" ref="B140:V140" si="186">MATCH(Frequence_gel, Classes_frequence_gel,0)</f>
        <v>#N/A</v>
      </c>
      <c r="C140" s="101" t="e">
        <f t="shared" si="186"/>
        <v>#N/A</v>
      </c>
      <c r="D140" s="101" t="e">
        <f t="shared" si="186"/>
        <v>#N/A</v>
      </c>
      <c r="E140" s="101" t="e">
        <f t="shared" si="186"/>
        <v>#N/A</v>
      </c>
      <c r="F140" s="101" t="e">
        <f t="shared" si="186"/>
        <v>#N/A</v>
      </c>
      <c r="G140" s="101" t="e">
        <f t="shared" si="186"/>
        <v>#N/A</v>
      </c>
      <c r="H140" s="101" t="e">
        <f t="shared" si="186"/>
        <v>#N/A</v>
      </c>
      <c r="I140" s="101" t="e">
        <f t="shared" si="186"/>
        <v>#N/A</v>
      </c>
      <c r="J140" s="101" t="e">
        <f t="shared" si="186"/>
        <v>#N/A</v>
      </c>
      <c r="K140" s="101" t="e">
        <f t="shared" si="186"/>
        <v>#N/A</v>
      </c>
      <c r="L140" s="101" t="e">
        <f t="shared" si="186"/>
        <v>#N/A</v>
      </c>
      <c r="M140" s="101" t="e">
        <f t="shared" si="186"/>
        <v>#N/A</v>
      </c>
      <c r="N140" s="101" t="e">
        <f t="shared" si="186"/>
        <v>#N/A</v>
      </c>
      <c r="O140" s="101" t="e">
        <f t="shared" si="186"/>
        <v>#N/A</v>
      </c>
      <c r="P140" s="101" t="e">
        <f t="shared" si="186"/>
        <v>#N/A</v>
      </c>
      <c r="Q140" s="101" t="e">
        <f t="shared" si="186"/>
        <v>#N/A</v>
      </c>
      <c r="R140" s="101" t="e">
        <f t="shared" si="186"/>
        <v>#N/A</v>
      </c>
      <c r="S140" s="101" t="e">
        <f t="shared" si="186"/>
        <v>#N/A</v>
      </c>
      <c r="T140" s="101" t="e">
        <f t="shared" si="186"/>
        <v>#N/A</v>
      </c>
      <c r="U140" s="101" t="e">
        <f t="shared" si="186"/>
        <v>#N/A</v>
      </c>
      <c r="V140" s="101" t="e">
        <f t="shared" si="186"/>
        <v>#N/A</v>
      </c>
    </row>
    <row r="141" spans="1:22" s="102" customFormat="1">
      <c r="A141" s="102" t="s">
        <v>392</v>
      </c>
      <c r="B141" s="102">
        <f t="shared" ref="B141:V141" si="187">INDEX(Sensibilite_gel_PS,1,B$6)</f>
        <v>2</v>
      </c>
      <c r="C141" s="102">
        <f t="shared" si="187"/>
        <v>3</v>
      </c>
      <c r="D141" s="102">
        <f t="shared" si="187"/>
        <v>2</v>
      </c>
      <c r="E141" s="102">
        <f t="shared" si="187"/>
        <v>3</v>
      </c>
      <c r="F141" s="102">
        <f t="shared" si="187"/>
        <v>2</v>
      </c>
      <c r="G141" s="102">
        <f t="shared" si="187"/>
        <v>3</v>
      </c>
      <c r="H141" s="102">
        <f t="shared" si="187"/>
        <v>3</v>
      </c>
      <c r="I141" s="102">
        <f t="shared" si="187"/>
        <v>4</v>
      </c>
      <c r="J141" s="102">
        <f t="shared" si="187"/>
        <v>1</v>
      </c>
      <c r="K141" s="102">
        <f t="shared" si="187"/>
        <v>2</v>
      </c>
      <c r="L141" s="102">
        <f t="shared" si="187"/>
        <v>4</v>
      </c>
      <c r="M141" s="102">
        <f t="shared" si="187"/>
        <v>3</v>
      </c>
      <c r="N141" s="102">
        <f t="shared" si="187"/>
        <v>3</v>
      </c>
      <c r="O141" s="102">
        <f t="shared" si="187"/>
        <v>4</v>
      </c>
      <c r="P141" s="102">
        <f t="shared" si="187"/>
        <v>4</v>
      </c>
      <c r="Q141" s="102">
        <f t="shared" si="187"/>
        <v>4</v>
      </c>
      <c r="R141" s="102">
        <f t="shared" si="187"/>
        <v>3</v>
      </c>
      <c r="S141" s="102">
        <f t="shared" si="187"/>
        <v>1</v>
      </c>
      <c r="T141" s="102">
        <f t="shared" si="187"/>
        <v>2</v>
      </c>
      <c r="U141" s="102">
        <f t="shared" si="187"/>
        <v>3</v>
      </c>
      <c r="V141" s="102" t="e">
        <f t="shared" si="187"/>
        <v>#N/A</v>
      </c>
    </row>
    <row r="142" spans="1:22" s="106" customFormat="1">
      <c r="A142" s="101" t="s">
        <v>16</v>
      </c>
      <c r="B142" s="101" t="e">
        <f t="shared" ref="B142:V142" si="188">MATCH(Mode_destruction, classes_mode_destruction,0)</f>
        <v>#N/A</v>
      </c>
      <c r="C142" s="101" t="e">
        <f t="shared" si="188"/>
        <v>#N/A</v>
      </c>
      <c r="D142" s="101" t="e">
        <f t="shared" si="188"/>
        <v>#N/A</v>
      </c>
      <c r="E142" s="101" t="e">
        <f t="shared" si="188"/>
        <v>#N/A</v>
      </c>
      <c r="F142" s="101" t="e">
        <f t="shared" si="188"/>
        <v>#N/A</v>
      </c>
      <c r="G142" s="101" t="e">
        <f t="shared" si="188"/>
        <v>#N/A</v>
      </c>
      <c r="H142" s="101" t="e">
        <f t="shared" si="188"/>
        <v>#N/A</v>
      </c>
      <c r="I142" s="101" t="e">
        <f t="shared" si="188"/>
        <v>#N/A</v>
      </c>
      <c r="J142" s="101" t="e">
        <f t="shared" si="188"/>
        <v>#N/A</v>
      </c>
      <c r="K142" s="101" t="e">
        <f t="shared" si="188"/>
        <v>#N/A</v>
      </c>
      <c r="L142" s="101" t="e">
        <f t="shared" si="188"/>
        <v>#N/A</v>
      </c>
      <c r="M142" s="101" t="e">
        <f t="shared" si="188"/>
        <v>#N/A</v>
      </c>
      <c r="N142" s="101" t="e">
        <f t="shared" si="188"/>
        <v>#N/A</v>
      </c>
      <c r="O142" s="101" t="e">
        <f t="shared" si="188"/>
        <v>#N/A</v>
      </c>
      <c r="P142" s="101" t="e">
        <f t="shared" si="188"/>
        <v>#N/A</v>
      </c>
      <c r="Q142" s="101" t="e">
        <f t="shared" si="188"/>
        <v>#N/A</v>
      </c>
      <c r="R142" s="101" t="e">
        <f t="shared" si="188"/>
        <v>#N/A</v>
      </c>
      <c r="S142" s="101" t="e">
        <f t="shared" si="188"/>
        <v>#N/A</v>
      </c>
      <c r="T142" s="101" t="e">
        <f t="shared" si="188"/>
        <v>#N/A</v>
      </c>
      <c r="U142" s="101" t="e">
        <f t="shared" si="188"/>
        <v>#N/A</v>
      </c>
      <c r="V142" s="101" t="e">
        <f t="shared" si="188"/>
        <v>#N/A</v>
      </c>
    </row>
    <row r="143" spans="1:22" s="102" customFormat="1">
      <c r="A143" s="102" t="s">
        <v>32</v>
      </c>
      <c r="B143" s="102">
        <f t="shared" ref="B143:V143" si="189">INDEX(Interet_fourrager_PS,1,B$6)</f>
        <v>1</v>
      </c>
      <c r="C143" s="102">
        <f t="shared" si="189"/>
        <v>1</v>
      </c>
      <c r="D143" s="102">
        <f t="shared" si="189"/>
        <v>1</v>
      </c>
      <c r="E143" s="102">
        <f t="shared" si="189"/>
        <v>2</v>
      </c>
      <c r="F143" s="102">
        <f t="shared" si="189"/>
        <v>2</v>
      </c>
      <c r="G143" s="102">
        <f t="shared" si="189"/>
        <v>1</v>
      </c>
      <c r="H143" s="102">
        <f t="shared" si="189"/>
        <v>2</v>
      </c>
      <c r="I143" s="102">
        <f t="shared" si="189"/>
        <v>1</v>
      </c>
      <c r="J143" s="102">
        <f t="shared" si="189"/>
        <v>1</v>
      </c>
      <c r="K143" s="102">
        <f t="shared" si="189"/>
        <v>2</v>
      </c>
      <c r="L143" s="102">
        <f t="shared" si="189"/>
        <v>1</v>
      </c>
      <c r="M143" s="102">
        <f t="shared" si="189"/>
        <v>1</v>
      </c>
      <c r="N143" s="102">
        <f t="shared" si="189"/>
        <v>2</v>
      </c>
      <c r="O143" s="102">
        <f t="shared" si="189"/>
        <v>1</v>
      </c>
      <c r="P143" s="102">
        <f t="shared" si="189"/>
        <v>1</v>
      </c>
      <c r="Q143" s="102">
        <f t="shared" si="189"/>
        <v>2</v>
      </c>
      <c r="R143" s="102">
        <f t="shared" si="189"/>
        <v>2</v>
      </c>
      <c r="S143" s="102">
        <f t="shared" si="189"/>
        <v>2</v>
      </c>
      <c r="T143" s="102">
        <f t="shared" si="189"/>
        <v>2</v>
      </c>
      <c r="U143" s="102">
        <f t="shared" si="189"/>
        <v>2</v>
      </c>
      <c r="V143" s="102" t="e">
        <f t="shared" si="189"/>
        <v>#N/A</v>
      </c>
    </row>
    <row r="144" spans="1:22" s="106" customFormat="1">
      <c r="A144" s="125" t="str">
        <f t="shared" ref="A144:V144" si="190">INDEX(Amplification_maladies_PS,1,A$6)</f>
        <v>Amplification maladie SDC</v>
      </c>
      <c r="B144" s="102" t="str">
        <f t="shared" si="190"/>
        <v>-</v>
      </c>
      <c r="C144" s="102" t="str">
        <f t="shared" si="190"/>
        <v>-</v>
      </c>
      <c r="D144" s="102" t="str">
        <f t="shared" si="190"/>
        <v>Sclerot.</v>
      </c>
      <c r="E144" s="102" t="str">
        <f t="shared" si="190"/>
        <v>-</v>
      </c>
      <c r="F144" s="102" t="str">
        <f t="shared" si="190"/>
        <v>Sclerot.</v>
      </c>
      <c r="G144" s="102" t="str">
        <f t="shared" si="190"/>
        <v>-</v>
      </c>
      <c r="H144" s="102" t="str">
        <f t="shared" si="190"/>
        <v>Sclerot.</v>
      </c>
      <c r="I144" s="102" t="str">
        <f t="shared" si="190"/>
        <v>-</v>
      </c>
      <c r="J144" s="102" t="str">
        <f t="shared" si="190"/>
        <v>-</v>
      </c>
      <c r="K144" s="102" t="str">
        <f t="shared" si="190"/>
        <v>Sclerot.</v>
      </c>
      <c r="L144" s="102" t="str">
        <f t="shared" si="190"/>
        <v xml:space="preserve">Sclerot. </v>
      </c>
      <c r="M144" s="102" t="str">
        <f t="shared" si="190"/>
        <v>Sclérot.</v>
      </c>
      <c r="N144" s="102" t="str">
        <f t="shared" si="190"/>
        <v>Aphano. Sclerot.</v>
      </c>
      <c r="O144" s="102" t="str">
        <f t="shared" si="190"/>
        <v>Aphano. Sclerot.</v>
      </c>
      <c r="P144" s="102" t="str">
        <f t="shared" si="190"/>
        <v>-</v>
      </c>
      <c r="Q144" s="102" t="str">
        <f t="shared" si="190"/>
        <v>Sclerot.</v>
      </c>
      <c r="R144" s="102" t="str">
        <f t="shared" si="190"/>
        <v>-</v>
      </c>
      <c r="S144" s="102" t="str">
        <f t="shared" si="190"/>
        <v>-</v>
      </c>
      <c r="T144" s="102" t="str">
        <f t="shared" si="190"/>
        <v>Aphano. Sclerot.</v>
      </c>
      <c r="U144" s="102" t="str">
        <f t="shared" si="190"/>
        <v>Aphano. Sclerot.</v>
      </c>
      <c r="V144" s="102">
        <f t="shared" si="190"/>
        <v>0</v>
      </c>
    </row>
    <row r="145" spans="1:22" s="106" customFormat="1">
      <c r="A145" s="123" t="s">
        <v>72</v>
      </c>
      <c r="B145" s="104" t="e">
        <f t="shared" ref="B145:M145" si="191">VLOOKUP(CONCATENATE(B146,B156,B157),RDD_competition_automne,2,0)</f>
        <v>#N/A</v>
      </c>
      <c r="C145" s="104" t="e">
        <f t="shared" si="191"/>
        <v>#N/A</v>
      </c>
      <c r="D145" s="104" t="e">
        <f t="shared" si="191"/>
        <v>#N/A</v>
      </c>
      <c r="E145" s="104" t="e">
        <f t="shared" si="191"/>
        <v>#N/A</v>
      </c>
      <c r="F145" s="104" t="e">
        <f t="shared" si="191"/>
        <v>#N/A</v>
      </c>
      <c r="G145" s="104" t="e">
        <f t="shared" si="191"/>
        <v>#N/A</v>
      </c>
      <c r="H145" s="104" t="e">
        <f t="shared" si="191"/>
        <v>#N/A</v>
      </c>
      <c r="I145" s="104" t="e">
        <f t="shared" si="191"/>
        <v>#N/A</v>
      </c>
      <c r="J145" s="104" t="e">
        <f t="shared" si="191"/>
        <v>#N/A</v>
      </c>
      <c r="K145" s="104" t="e">
        <f t="shared" si="191"/>
        <v>#N/A</v>
      </c>
      <c r="L145" s="104" t="e">
        <f t="shared" si="191"/>
        <v>#N/A</v>
      </c>
      <c r="M145" s="104" t="e">
        <f t="shared" si="191"/>
        <v>#N/A</v>
      </c>
      <c r="N145" s="104" t="e">
        <f t="shared" ref="N145:V145" si="192">VLOOKUP(CONCATENATE(N146,N156,N157),RDD_competition_automne,2,0)</f>
        <v>#N/A</v>
      </c>
      <c r="O145" s="104" t="e">
        <f t="shared" si="192"/>
        <v>#N/A</v>
      </c>
      <c r="P145" s="104" t="e">
        <f t="shared" si="192"/>
        <v>#N/A</v>
      </c>
      <c r="Q145" s="104" t="e">
        <f t="shared" si="192"/>
        <v>#N/A</v>
      </c>
      <c r="R145" s="104" t="e">
        <f t="shared" si="192"/>
        <v>#N/A</v>
      </c>
      <c r="S145" s="104" t="e">
        <f t="shared" si="192"/>
        <v>#N/A</v>
      </c>
      <c r="T145" s="104" t="e">
        <f t="shared" si="192"/>
        <v>#N/A</v>
      </c>
      <c r="U145" s="104" t="e">
        <f t="shared" si="192"/>
        <v>#N/A</v>
      </c>
      <c r="V145" s="104" t="e">
        <f t="shared" si="192"/>
        <v>#N/A</v>
      </c>
    </row>
    <row r="146" spans="1:22" s="104" customFormat="1">
      <c r="A146" s="104" t="s">
        <v>309</v>
      </c>
      <c r="B146" s="104">
        <f t="shared" ref="B146:K146" si="193">VLOOKUP(CONCATENATE(B147,B148,B152),RDD_traits_PS_competition,2,0)</f>
        <v>2</v>
      </c>
      <c r="C146" s="104">
        <f t="shared" si="193"/>
        <v>3</v>
      </c>
      <c r="D146" s="104">
        <f t="shared" si="193"/>
        <v>3</v>
      </c>
      <c r="E146" s="104">
        <f t="shared" si="193"/>
        <v>1</v>
      </c>
      <c r="F146" s="104">
        <f t="shared" si="193"/>
        <v>2</v>
      </c>
      <c r="G146" s="104">
        <f t="shared" si="193"/>
        <v>2</v>
      </c>
      <c r="H146" s="104">
        <f t="shared" si="193"/>
        <v>1</v>
      </c>
      <c r="I146" s="104">
        <f t="shared" si="193"/>
        <v>3</v>
      </c>
      <c r="J146" s="104">
        <f t="shared" si="193"/>
        <v>2</v>
      </c>
      <c r="K146" s="104">
        <f t="shared" si="193"/>
        <v>3</v>
      </c>
      <c r="L146" s="104">
        <f t="shared" ref="L146:V146" si="194">VLOOKUP(CONCATENATE(L147,L148,L152),RDD_traits_PS_competition,2,0)</f>
        <v>4</v>
      </c>
      <c r="M146" s="104">
        <f t="shared" si="194"/>
        <v>4</v>
      </c>
      <c r="N146" s="104">
        <f t="shared" si="194"/>
        <v>2</v>
      </c>
      <c r="O146" s="104">
        <f t="shared" si="194"/>
        <v>3</v>
      </c>
      <c r="P146" s="104">
        <f t="shared" si="194"/>
        <v>4</v>
      </c>
      <c r="Q146" s="104">
        <f t="shared" si="194"/>
        <v>4</v>
      </c>
      <c r="R146" s="104">
        <f t="shared" si="194"/>
        <v>2</v>
      </c>
      <c r="S146" s="104">
        <f t="shared" si="194"/>
        <v>1</v>
      </c>
      <c r="T146" s="104">
        <f t="shared" si="194"/>
        <v>2</v>
      </c>
      <c r="U146" s="104">
        <f t="shared" si="194"/>
        <v>3</v>
      </c>
      <c r="V146" s="104" t="e">
        <f t="shared" si="194"/>
        <v>#N/A</v>
      </c>
    </row>
    <row r="147" spans="1:22" s="102" customFormat="1">
      <c r="A147" s="102" t="str">
        <f t="shared" ref="A147:K147" si="195">INDEX(Allelopathie_PS,1,A$6)</f>
        <v>Allelopathie PS</v>
      </c>
      <c r="B147" s="102">
        <f t="shared" si="195"/>
        <v>1</v>
      </c>
      <c r="C147" s="102">
        <f t="shared" si="195"/>
        <v>2</v>
      </c>
      <c r="D147" s="102">
        <f t="shared" si="195"/>
        <v>2</v>
      </c>
      <c r="E147" s="102">
        <f t="shared" si="195"/>
        <v>1</v>
      </c>
      <c r="F147" s="102">
        <f t="shared" si="195"/>
        <v>1</v>
      </c>
      <c r="G147" s="102">
        <f t="shared" si="195"/>
        <v>1</v>
      </c>
      <c r="H147" s="102">
        <f t="shared" si="195"/>
        <v>1</v>
      </c>
      <c r="I147" s="102">
        <f t="shared" si="195"/>
        <v>2</v>
      </c>
      <c r="J147" s="102">
        <f t="shared" si="195"/>
        <v>1</v>
      </c>
      <c r="K147" s="102">
        <f t="shared" si="195"/>
        <v>1</v>
      </c>
      <c r="L147" s="102">
        <f t="shared" ref="L147:V147" si="196">INDEX(Allelopathie_PS,1,L$6)</f>
        <v>1</v>
      </c>
      <c r="M147" s="102">
        <f t="shared" si="196"/>
        <v>1</v>
      </c>
      <c r="N147" s="102">
        <f t="shared" si="196"/>
        <v>1</v>
      </c>
      <c r="O147" s="102">
        <f t="shared" si="196"/>
        <v>1</v>
      </c>
      <c r="P147" s="102">
        <f t="shared" si="196"/>
        <v>2</v>
      </c>
      <c r="Q147" s="102">
        <f t="shared" si="196"/>
        <v>2</v>
      </c>
      <c r="R147" s="102">
        <f t="shared" si="196"/>
        <v>1</v>
      </c>
      <c r="S147" s="102">
        <f t="shared" si="196"/>
        <v>2</v>
      </c>
      <c r="T147" s="102">
        <f t="shared" si="196"/>
        <v>1</v>
      </c>
      <c r="U147" s="102">
        <f t="shared" si="196"/>
        <v>1</v>
      </c>
      <c r="V147" s="102" t="e">
        <f t="shared" si="196"/>
        <v>#N/A</v>
      </c>
    </row>
    <row r="148" spans="1:22" s="104" customFormat="1">
      <c r="A148" s="104" t="s">
        <v>352</v>
      </c>
      <c r="B148" s="104">
        <f t="shared" ref="B148:M148" si="197">VLOOKUP(CONCATENATE(B149,B150,B151),RDD_competition_lumiere,2,0)</f>
        <v>4</v>
      </c>
      <c r="C148" s="104">
        <f t="shared" si="197"/>
        <v>4</v>
      </c>
      <c r="D148" s="104">
        <f t="shared" si="197"/>
        <v>3</v>
      </c>
      <c r="E148" s="104">
        <f t="shared" si="197"/>
        <v>2</v>
      </c>
      <c r="F148" s="104">
        <f t="shared" si="197"/>
        <v>4</v>
      </c>
      <c r="G148" s="104">
        <f t="shared" si="197"/>
        <v>3</v>
      </c>
      <c r="H148" s="104">
        <f t="shared" si="197"/>
        <v>2</v>
      </c>
      <c r="I148" s="104">
        <f t="shared" si="197"/>
        <v>2</v>
      </c>
      <c r="J148" s="104">
        <f t="shared" si="197"/>
        <v>3</v>
      </c>
      <c r="K148" s="104">
        <f t="shared" si="197"/>
        <v>4</v>
      </c>
      <c r="L148" s="104">
        <f t="shared" si="197"/>
        <v>4</v>
      </c>
      <c r="M148" s="104">
        <f t="shared" si="197"/>
        <v>4</v>
      </c>
      <c r="N148" s="104">
        <f t="shared" ref="N148:V148" si="198">VLOOKUP(CONCATENATE(N149,N150,N151),RDD_competition_lumiere,2,0)</f>
        <v>3</v>
      </c>
      <c r="O148" s="104">
        <f t="shared" si="198"/>
        <v>3</v>
      </c>
      <c r="P148" s="104">
        <f t="shared" si="198"/>
        <v>3</v>
      </c>
      <c r="Q148" s="104">
        <f t="shared" si="198"/>
        <v>4</v>
      </c>
      <c r="R148" s="104">
        <f t="shared" si="198"/>
        <v>3</v>
      </c>
      <c r="S148" s="104">
        <f t="shared" si="198"/>
        <v>1</v>
      </c>
      <c r="T148" s="104">
        <f t="shared" si="198"/>
        <v>3</v>
      </c>
      <c r="U148" s="104">
        <f t="shared" si="198"/>
        <v>3</v>
      </c>
      <c r="V148" s="104" t="e">
        <f t="shared" si="198"/>
        <v>#N/A</v>
      </c>
    </row>
    <row r="149" spans="1:22" s="102" customFormat="1">
      <c r="A149" s="102" t="s">
        <v>29</v>
      </c>
      <c r="B149" s="102">
        <f t="shared" ref="B149:V149" si="199">INDEX(Hauteur_PS,1,B$6)</f>
        <v>3</v>
      </c>
      <c r="C149" s="102">
        <f t="shared" si="199"/>
        <v>3</v>
      </c>
      <c r="D149" s="102">
        <f t="shared" si="199"/>
        <v>2</v>
      </c>
      <c r="E149" s="102">
        <f t="shared" si="199"/>
        <v>2</v>
      </c>
      <c r="F149" s="102">
        <f t="shared" si="199"/>
        <v>3</v>
      </c>
      <c r="G149" s="102">
        <f t="shared" si="199"/>
        <v>2</v>
      </c>
      <c r="H149" s="102">
        <f t="shared" si="199"/>
        <v>1</v>
      </c>
      <c r="I149" s="102">
        <f t="shared" si="199"/>
        <v>2</v>
      </c>
      <c r="J149" s="102">
        <f t="shared" si="199"/>
        <v>2</v>
      </c>
      <c r="K149" s="102">
        <f t="shared" si="199"/>
        <v>3</v>
      </c>
      <c r="L149" s="102">
        <f t="shared" si="199"/>
        <v>3</v>
      </c>
      <c r="M149" s="102">
        <f t="shared" si="199"/>
        <v>3</v>
      </c>
      <c r="N149" s="102">
        <f t="shared" si="199"/>
        <v>2</v>
      </c>
      <c r="O149" s="102">
        <f t="shared" si="199"/>
        <v>2</v>
      </c>
      <c r="P149" s="102">
        <f t="shared" si="199"/>
        <v>2</v>
      </c>
      <c r="Q149" s="102">
        <f t="shared" si="199"/>
        <v>3</v>
      </c>
      <c r="R149" s="102">
        <f t="shared" si="199"/>
        <v>2</v>
      </c>
      <c r="S149" s="102">
        <f t="shared" si="199"/>
        <v>1</v>
      </c>
      <c r="T149" s="102">
        <f t="shared" si="199"/>
        <v>2</v>
      </c>
      <c r="U149" s="102">
        <f t="shared" si="199"/>
        <v>2</v>
      </c>
      <c r="V149" s="102" t="e">
        <f t="shared" si="199"/>
        <v>#N/A</v>
      </c>
    </row>
    <row r="150" spans="1:22" s="102" customFormat="1">
      <c r="A150" s="102" t="s">
        <v>31</v>
      </c>
      <c r="B150" s="102">
        <f t="shared" ref="B150:V150" si="200">INDEX(Vitesse_croissance_PS,1,B$6)</f>
        <v>2</v>
      </c>
      <c r="C150" s="102">
        <f t="shared" si="200"/>
        <v>3</v>
      </c>
      <c r="D150" s="102">
        <f t="shared" si="200"/>
        <v>3</v>
      </c>
      <c r="E150" s="102">
        <f t="shared" si="200"/>
        <v>2</v>
      </c>
      <c r="F150" s="102">
        <f t="shared" si="200"/>
        <v>2</v>
      </c>
      <c r="G150" s="102">
        <f t="shared" si="200"/>
        <v>2</v>
      </c>
      <c r="H150" s="102">
        <f t="shared" si="200"/>
        <v>3</v>
      </c>
      <c r="I150" s="102">
        <f t="shared" si="200"/>
        <v>2</v>
      </c>
      <c r="J150" s="102">
        <f t="shared" si="200"/>
        <v>2</v>
      </c>
      <c r="K150" s="102">
        <f t="shared" si="200"/>
        <v>3</v>
      </c>
      <c r="L150" s="102">
        <f t="shared" si="200"/>
        <v>2</v>
      </c>
      <c r="M150" s="102">
        <f t="shared" si="200"/>
        <v>3</v>
      </c>
      <c r="N150" s="102">
        <f t="shared" si="200"/>
        <v>2</v>
      </c>
      <c r="O150" s="102">
        <f t="shared" si="200"/>
        <v>2</v>
      </c>
      <c r="P150" s="102">
        <f t="shared" si="200"/>
        <v>3</v>
      </c>
      <c r="Q150" s="102">
        <f t="shared" si="200"/>
        <v>2</v>
      </c>
      <c r="R150" s="102">
        <f t="shared" si="200"/>
        <v>2</v>
      </c>
      <c r="S150" s="102">
        <f t="shared" si="200"/>
        <v>1</v>
      </c>
      <c r="T150" s="102">
        <f t="shared" si="200"/>
        <v>2</v>
      </c>
      <c r="U150" s="102">
        <f t="shared" si="200"/>
        <v>3</v>
      </c>
      <c r="V150" s="102" t="e">
        <f t="shared" si="200"/>
        <v>#N/A</v>
      </c>
    </row>
    <row r="151" spans="1:22" s="102" customFormat="1">
      <c r="A151" s="102" t="s">
        <v>330</v>
      </c>
      <c r="B151" s="102">
        <f t="shared" ref="B151:V151" si="201">INDEX(Surface_feuille_PS,1,B$6)</f>
        <v>3</v>
      </c>
      <c r="C151" s="102">
        <f t="shared" si="201"/>
        <v>3</v>
      </c>
      <c r="D151" s="102">
        <f t="shared" si="201"/>
        <v>2</v>
      </c>
      <c r="E151" s="102">
        <f t="shared" si="201"/>
        <v>1</v>
      </c>
      <c r="F151" s="102">
        <f t="shared" si="201"/>
        <v>3</v>
      </c>
      <c r="G151" s="102">
        <f t="shared" si="201"/>
        <v>2</v>
      </c>
      <c r="H151" s="102">
        <f t="shared" si="201"/>
        <v>1</v>
      </c>
      <c r="I151" s="102">
        <f t="shared" si="201"/>
        <v>1</v>
      </c>
      <c r="J151" s="102">
        <f t="shared" si="201"/>
        <v>2</v>
      </c>
      <c r="K151" s="102">
        <f t="shared" si="201"/>
        <v>3</v>
      </c>
      <c r="L151" s="102">
        <f t="shared" si="201"/>
        <v>3</v>
      </c>
      <c r="M151" s="102">
        <f t="shared" si="201"/>
        <v>3</v>
      </c>
      <c r="N151" s="102">
        <f t="shared" si="201"/>
        <v>3</v>
      </c>
      <c r="O151" s="102">
        <f t="shared" si="201"/>
        <v>3</v>
      </c>
      <c r="P151" s="102">
        <f t="shared" si="201"/>
        <v>2</v>
      </c>
      <c r="Q151" s="102">
        <f t="shared" si="201"/>
        <v>3</v>
      </c>
      <c r="R151" s="102">
        <f t="shared" si="201"/>
        <v>2</v>
      </c>
      <c r="S151" s="102">
        <f t="shared" si="201"/>
        <v>1</v>
      </c>
      <c r="T151" s="102">
        <f t="shared" si="201"/>
        <v>2</v>
      </c>
      <c r="U151" s="102">
        <f t="shared" si="201"/>
        <v>2</v>
      </c>
      <c r="V151" s="102" t="e">
        <f t="shared" si="201"/>
        <v>#N/A</v>
      </c>
    </row>
    <row r="152" spans="1:22" s="104" customFormat="1">
      <c r="A152" s="104" t="s">
        <v>351</v>
      </c>
      <c r="B152" s="104">
        <f t="shared" ref="B152:M152" si="202">VLOOKUP(CONCATENATE(B153,B154,B155),RDD_competition_azote,2,0)</f>
        <v>2</v>
      </c>
      <c r="C152" s="104">
        <f t="shared" si="202"/>
        <v>2</v>
      </c>
      <c r="D152" s="104">
        <f t="shared" si="202"/>
        <v>2</v>
      </c>
      <c r="E152" s="104">
        <f t="shared" si="202"/>
        <v>1</v>
      </c>
      <c r="F152" s="104">
        <f t="shared" si="202"/>
        <v>2</v>
      </c>
      <c r="G152" s="104">
        <f t="shared" si="202"/>
        <v>2</v>
      </c>
      <c r="H152" s="104">
        <f t="shared" si="202"/>
        <v>2</v>
      </c>
      <c r="I152" s="104">
        <f t="shared" si="202"/>
        <v>3</v>
      </c>
      <c r="J152" s="104">
        <f t="shared" si="202"/>
        <v>2</v>
      </c>
      <c r="K152" s="104">
        <f t="shared" si="202"/>
        <v>3</v>
      </c>
      <c r="L152" s="104">
        <f t="shared" si="202"/>
        <v>4</v>
      </c>
      <c r="M152" s="104">
        <f t="shared" si="202"/>
        <v>4</v>
      </c>
      <c r="N152" s="104">
        <f t="shared" ref="N152:V152" si="203">VLOOKUP(CONCATENATE(N153,N154,N155),RDD_competition_azote,2,0)</f>
        <v>2</v>
      </c>
      <c r="O152" s="104">
        <f t="shared" si="203"/>
        <v>3</v>
      </c>
      <c r="P152" s="104">
        <f t="shared" si="203"/>
        <v>3</v>
      </c>
      <c r="Q152" s="104">
        <f t="shared" si="203"/>
        <v>4</v>
      </c>
      <c r="R152" s="104">
        <f t="shared" si="203"/>
        <v>2</v>
      </c>
      <c r="S152" s="104">
        <f t="shared" si="203"/>
        <v>1</v>
      </c>
      <c r="T152" s="104">
        <f t="shared" si="203"/>
        <v>1</v>
      </c>
      <c r="U152" s="104">
        <f t="shared" si="203"/>
        <v>3</v>
      </c>
      <c r="V152" s="104" t="e">
        <f t="shared" si="203"/>
        <v>#N/A</v>
      </c>
    </row>
    <row r="153" spans="1:22" s="102" customFormat="1">
      <c r="A153" s="102" t="s">
        <v>30</v>
      </c>
      <c r="B153" s="102">
        <f t="shared" ref="B153:V153" si="204">INDEX(Nitrophilie_PS,1,B$6)</f>
        <v>1</v>
      </c>
      <c r="C153" s="102">
        <f t="shared" si="204"/>
        <v>1</v>
      </c>
      <c r="D153" s="102">
        <f t="shared" si="204"/>
        <v>1</v>
      </c>
      <c r="E153" s="102">
        <f t="shared" si="204"/>
        <v>1</v>
      </c>
      <c r="F153" s="102">
        <f t="shared" si="204"/>
        <v>2</v>
      </c>
      <c r="G153" s="102">
        <f t="shared" si="204"/>
        <v>2</v>
      </c>
      <c r="H153" s="102">
        <f t="shared" si="204"/>
        <v>1</v>
      </c>
      <c r="I153" s="102">
        <f t="shared" si="204"/>
        <v>2</v>
      </c>
      <c r="J153" s="102">
        <f t="shared" si="204"/>
        <v>2</v>
      </c>
      <c r="K153" s="102">
        <f t="shared" si="204"/>
        <v>2</v>
      </c>
      <c r="L153" s="102">
        <f t="shared" si="204"/>
        <v>3</v>
      </c>
      <c r="M153" s="102">
        <f t="shared" si="204"/>
        <v>3</v>
      </c>
      <c r="N153" s="102">
        <f t="shared" si="204"/>
        <v>2</v>
      </c>
      <c r="O153" s="102">
        <f t="shared" si="204"/>
        <v>3</v>
      </c>
      <c r="P153" s="102">
        <f t="shared" si="204"/>
        <v>2</v>
      </c>
      <c r="Q153" s="102">
        <f t="shared" si="204"/>
        <v>3</v>
      </c>
      <c r="R153" s="102">
        <f t="shared" si="204"/>
        <v>2</v>
      </c>
      <c r="S153" s="102">
        <f t="shared" si="204"/>
        <v>1</v>
      </c>
      <c r="T153" s="102">
        <f t="shared" si="204"/>
        <v>1</v>
      </c>
      <c r="U153" s="102">
        <f t="shared" si="204"/>
        <v>2</v>
      </c>
      <c r="V153" s="102" t="e">
        <f t="shared" si="204"/>
        <v>#N/A</v>
      </c>
    </row>
    <row r="154" spans="1:22" s="102" customFormat="1">
      <c r="A154" s="102" t="s">
        <v>26</v>
      </c>
      <c r="B154" s="102">
        <f t="shared" ref="B154:V154" si="205">INDEX(PS_fixatrice_N,1,B$6)</f>
        <v>2</v>
      </c>
      <c r="C154" s="102">
        <f t="shared" si="205"/>
        <v>2</v>
      </c>
      <c r="D154" s="102">
        <f t="shared" si="205"/>
        <v>2</v>
      </c>
      <c r="E154" s="102">
        <f t="shared" si="205"/>
        <v>1</v>
      </c>
      <c r="F154" s="102">
        <f t="shared" si="205"/>
        <v>1</v>
      </c>
      <c r="G154" s="102">
        <f t="shared" si="205"/>
        <v>1</v>
      </c>
      <c r="H154" s="102">
        <f t="shared" si="205"/>
        <v>1</v>
      </c>
      <c r="I154" s="102">
        <f t="shared" si="205"/>
        <v>2</v>
      </c>
      <c r="J154" s="102">
        <f t="shared" si="205"/>
        <v>1</v>
      </c>
      <c r="K154" s="102">
        <f t="shared" si="205"/>
        <v>2</v>
      </c>
      <c r="L154" s="102">
        <f t="shared" si="205"/>
        <v>2</v>
      </c>
      <c r="M154" s="102">
        <f t="shared" si="205"/>
        <v>2</v>
      </c>
      <c r="N154" s="102">
        <f t="shared" si="205"/>
        <v>1</v>
      </c>
      <c r="O154" s="102">
        <f t="shared" si="205"/>
        <v>1</v>
      </c>
      <c r="P154" s="102">
        <f t="shared" si="205"/>
        <v>2</v>
      </c>
      <c r="Q154" s="102">
        <f t="shared" si="205"/>
        <v>2</v>
      </c>
      <c r="R154" s="102">
        <f t="shared" si="205"/>
        <v>1</v>
      </c>
      <c r="S154" s="102">
        <f t="shared" si="205"/>
        <v>1</v>
      </c>
      <c r="T154" s="102">
        <f t="shared" si="205"/>
        <v>1</v>
      </c>
      <c r="U154" s="102">
        <f t="shared" si="205"/>
        <v>1</v>
      </c>
      <c r="V154" s="102" t="e">
        <f t="shared" si="205"/>
        <v>#N/A</v>
      </c>
    </row>
    <row r="155" spans="1:22" s="102" customFormat="1">
      <c r="A155" s="102" t="s">
        <v>31</v>
      </c>
      <c r="B155" s="102">
        <f t="shared" ref="B155:V155" si="206">INDEX(Vitesse_croissance_PS,1,B$6)</f>
        <v>2</v>
      </c>
      <c r="C155" s="102">
        <f t="shared" si="206"/>
        <v>3</v>
      </c>
      <c r="D155" s="102">
        <f t="shared" si="206"/>
        <v>3</v>
      </c>
      <c r="E155" s="102">
        <f t="shared" si="206"/>
        <v>2</v>
      </c>
      <c r="F155" s="102">
        <f t="shared" si="206"/>
        <v>2</v>
      </c>
      <c r="G155" s="102">
        <f t="shared" si="206"/>
        <v>2</v>
      </c>
      <c r="H155" s="102">
        <f t="shared" si="206"/>
        <v>3</v>
      </c>
      <c r="I155" s="102">
        <f t="shared" si="206"/>
        <v>2</v>
      </c>
      <c r="J155" s="102">
        <f t="shared" si="206"/>
        <v>2</v>
      </c>
      <c r="K155" s="102">
        <f t="shared" si="206"/>
        <v>3</v>
      </c>
      <c r="L155" s="102">
        <f t="shared" si="206"/>
        <v>2</v>
      </c>
      <c r="M155" s="102">
        <f t="shared" si="206"/>
        <v>3</v>
      </c>
      <c r="N155" s="102">
        <f t="shared" si="206"/>
        <v>2</v>
      </c>
      <c r="O155" s="102">
        <f t="shared" si="206"/>
        <v>2</v>
      </c>
      <c r="P155" s="102">
        <f t="shared" si="206"/>
        <v>3</v>
      </c>
      <c r="Q155" s="102">
        <f t="shared" si="206"/>
        <v>2</v>
      </c>
      <c r="R155" s="102">
        <f t="shared" si="206"/>
        <v>2</v>
      </c>
      <c r="S155" s="102">
        <f t="shared" si="206"/>
        <v>1</v>
      </c>
      <c r="T155" s="102">
        <f t="shared" si="206"/>
        <v>2</v>
      </c>
      <c r="U155" s="102">
        <f t="shared" si="206"/>
        <v>3</v>
      </c>
      <c r="V155" s="102" t="e">
        <f t="shared" si="206"/>
        <v>#N/A</v>
      </c>
    </row>
    <row r="156" spans="1:22" s="106" customFormat="1">
      <c r="A156" s="103" t="s">
        <v>355</v>
      </c>
      <c r="B156" s="104" t="e">
        <f>B$8</f>
        <v>#N/A</v>
      </c>
      <c r="C156" s="104" t="e">
        <f t="shared" ref="C156:V156" si="207">C$8</f>
        <v>#N/A</v>
      </c>
      <c r="D156" s="104" t="e">
        <f t="shared" si="207"/>
        <v>#N/A</v>
      </c>
      <c r="E156" s="104" t="e">
        <f t="shared" si="207"/>
        <v>#N/A</v>
      </c>
      <c r="F156" s="104" t="e">
        <f t="shared" si="207"/>
        <v>#N/A</v>
      </c>
      <c r="G156" s="104" t="e">
        <f t="shared" si="207"/>
        <v>#N/A</v>
      </c>
      <c r="H156" s="104" t="e">
        <f t="shared" si="207"/>
        <v>#N/A</v>
      </c>
      <c r="I156" s="104" t="e">
        <f t="shared" si="207"/>
        <v>#N/A</v>
      </c>
      <c r="J156" s="104" t="e">
        <f t="shared" si="207"/>
        <v>#N/A</v>
      </c>
      <c r="K156" s="104" t="e">
        <f t="shared" si="207"/>
        <v>#N/A</v>
      </c>
      <c r="L156" s="104" t="e">
        <f t="shared" si="207"/>
        <v>#N/A</v>
      </c>
      <c r="M156" s="104" t="e">
        <f t="shared" si="207"/>
        <v>#N/A</v>
      </c>
      <c r="N156" s="104" t="e">
        <f t="shared" si="207"/>
        <v>#N/A</v>
      </c>
      <c r="O156" s="104" t="e">
        <f t="shared" si="207"/>
        <v>#N/A</v>
      </c>
      <c r="P156" s="104" t="e">
        <f t="shared" si="207"/>
        <v>#N/A</v>
      </c>
      <c r="Q156" s="104" t="e">
        <f t="shared" si="207"/>
        <v>#N/A</v>
      </c>
      <c r="R156" s="104" t="e">
        <f t="shared" si="207"/>
        <v>#N/A</v>
      </c>
      <c r="S156" s="104" t="e">
        <f t="shared" si="207"/>
        <v>#N/A</v>
      </c>
      <c r="T156" s="104" t="e">
        <f t="shared" si="207"/>
        <v>#N/A</v>
      </c>
      <c r="U156" s="104" t="e">
        <f t="shared" si="207"/>
        <v>#N/A</v>
      </c>
      <c r="V156" s="104" t="e">
        <f t="shared" si="207"/>
        <v>#N/A</v>
      </c>
    </row>
    <row r="157" spans="1:22" s="102" customFormat="1">
      <c r="A157" s="102" t="s">
        <v>33</v>
      </c>
      <c r="B157" s="102">
        <f t="shared" ref="B157:V157" si="208">INDEX(Tenue_tige_PS,1,B$6)</f>
        <v>1</v>
      </c>
      <c r="C157" s="102">
        <f t="shared" si="208"/>
        <v>1</v>
      </c>
      <c r="D157" s="102">
        <f t="shared" si="208"/>
        <v>1</v>
      </c>
      <c r="E157" s="102">
        <f t="shared" si="208"/>
        <v>1</v>
      </c>
      <c r="F157" s="102">
        <f t="shared" si="208"/>
        <v>1</v>
      </c>
      <c r="G157" s="102">
        <f t="shared" si="208"/>
        <v>1</v>
      </c>
      <c r="H157" s="102">
        <f t="shared" si="208"/>
        <v>1</v>
      </c>
      <c r="I157" s="102">
        <f t="shared" si="208"/>
        <v>1</v>
      </c>
      <c r="J157" s="102">
        <f t="shared" si="208"/>
        <v>1</v>
      </c>
      <c r="K157" s="102">
        <f t="shared" si="208"/>
        <v>1</v>
      </c>
      <c r="L157" s="102">
        <f t="shared" si="208"/>
        <v>1</v>
      </c>
      <c r="M157" s="102">
        <f t="shared" si="208"/>
        <v>1</v>
      </c>
      <c r="N157" s="102">
        <f t="shared" si="208"/>
        <v>2</v>
      </c>
      <c r="O157" s="102">
        <f t="shared" si="208"/>
        <v>2</v>
      </c>
      <c r="P157" s="102">
        <f t="shared" si="208"/>
        <v>1</v>
      </c>
      <c r="Q157" s="102">
        <f t="shared" si="208"/>
        <v>1</v>
      </c>
      <c r="R157" s="102">
        <f t="shared" si="208"/>
        <v>1</v>
      </c>
      <c r="S157" s="102">
        <f t="shared" si="208"/>
        <v>1</v>
      </c>
      <c r="T157" s="102">
        <f t="shared" si="208"/>
        <v>1</v>
      </c>
      <c r="U157" s="102">
        <f t="shared" si="208"/>
        <v>1</v>
      </c>
      <c r="V157" s="102" t="e">
        <f t="shared" si="208"/>
        <v>#N/A</v>
      </c>
    </row>
    <row r="158" spans="1:22" s="106" customFormat="1"/>
    <row r="159" spans="1:22" s="106" customFormat="1" hidden="1"/>
    <row r="160" spans="1:22" s="106" customFormat="1" hidden="1"/>
    <row r="161" spans="1:1" s="106" customFormat="1" hidden="1"/>
    <row r="162" spans="1:1" s="106" customFormat="1" hidden="1"/>
    <row r="163" spans="1:1" s="106" customFormat="1" hidden="1"/>
    <row r="164" spans="1:1" s="106" customFormat="1" hidden="1"/>
    <row r="165" spans="1:1" s="106" customFormat="1" hidden="1"/>
    <row r="166" spans="1:1" s="106" customFormat="1" hidden="1"/>
    <row r="167" spans="1:1" s="106" customFormat="1" hidden="1"/>
    <row r="168" spans="1:1" s="106" customFormat="1" hidden="1"/>
    <row r="169" spans="1:1" s="106" customFormat="1" hidden="1"/>
    <row r="170" spans="1:1" s="106" customFormat="1" hidden="1"/>
    <row r="171" spans="1:1" s="106" customFormat="1" hidden="1"/>
    <row r="172" spans="1:1" s="106" customFormat="1" hidden="1"/>
    <row r="173" spans="1:1" s="106" customFormat="1" hidden="1"/>
    <row r="174" spans="1:1" s="106" customFormat="1" hidden="1"/>
    <row r="175" spans="1:1" s="106" customFormat="1" hidden="1"/>
    <row r="176" spans="1:1" hidden="1">
      <c r="A176" s="105" t="s">
        <v>356</v>
      </c>
    </row>
    <row r="177" spans="1:12" hidden="1">
      <c r="A177" s="100">
        <f t="shared" ref="A177:D178" si="209">A6</f>
        <v>2</v>
      </c>
      <c r="B177" s="100">
        <f t="shared" si="209"/>
        <v>3</v>
      </c>
      <c r="C177" s="100">
        <f t="shared" si="209"/>
        <v>4</v>
      </c>
      <c r="D177" s="100">
        <f t="shared" si="209"/>
        <v>5</v>
      </c>
      <c r="E177" s="100">
        <f t="shared" ref="E177:L177" si="210">E6</f>
        <v>6</v>
      </c>
      <c r="F177" s="100">
        <f t="shared" si="210"/>
        <v>7</v>
      </c>
      <c r="G177" s="100">
        <f t="shared" si="210"/>
        <v>8</v>
      </c>
      <c r="H177" s="100">
        <f t="shared" si="210"/>
        <v>9</v>
      </c>
      <c r="I177" s="100">
        <f t="shared" si="210"/>
        <v>10</v>
      </c>
      <c r="J177" s="100">
        <f t="shared" si="210"/>
        <v>11</v>
      </c>
      <c r="K177" s="100">
        <f t="shared" si="210"/>
        <v>12</v>
      </c>
      <c r="L177" s="100">
        <f t="shared" si="210"/>
        <v>13</v>
      </c>
    </row>
    <row r="178" spans="1:12" hidden="1">
      <c r="A178" s="100" t="str">
        <f t="shared" si="209"/>
        <v>Traits</v>
      </c>
      <c r="B178" s="100" t="str">
        <f t="shared" si="209"/>
        <v>Avoine noire</v>
      </c>
      <c r="C178" s="100" t="str">
        <f t="shared" si="209"/>
        <v>Avoine rude</v>
      </c>
      <c r="D178" s="100" t="str">
        <f t="shared" si="209"/>
        <v>Cameline</v>
      </c>
      <c r="E178" s="100" t="str">
        <f t="shared" ref="E178:L178" si="211">E7</f>
        <v>Fenugrec</v>
      </c>
      <c r="F178" s="100" t="str">
        <f t="shared" si="211"/>
        <v>Feverole de printemps précoce</v>
      </c>
      <c r="G178" s="100" t="str">
        <f t="shared" si="211"/>
        <v>Gesse</v>
      </c>
      <c r="H178" s="100" t="str">
        <f t="shared" si="211"/>
        <v>Lentille fourragere</v>
      </c>
      <c r="I178" s="100" t="str">
        <f t="shared" si="211"/>
        <v>Lin de printemps (graine)</v>
      </c>
      <c r="J178" s="100" t="str">
        <f t="shared" si="211"/>
        <v>Luzerne</v>
      </c>
      <c r="K178" s="100" t="str">
        <f t="shared" si="211"/>
        <v>Navette fourragere</v>
      </c>
      <c r="L178" s="100" t="str">
        <f t="shared" si="211"/>
        <v>Nyger</v>
      </c>
    </row>
    <row r="179" spans="1:12" hidden="1">
      <c r="A179" s="103" t="str">
        <f t="shared" ref="A179:A211" si="212">A8</f>
        <v>.Biomasse PS</v>
      </c>
      <c r="B179" s="103" t="e">
        <f t="shared" ref="B179:L179" si="213">MATCH(B8,Classes_Biomasse_PS,0)</f>
        <v>#N/A</v>
      </c>
      <c r="C179" s="103" t="e">
        <f t="shared" si="213"/>
        <v>#N/A</v>
      </c>
      <c r="D179" s="103" t="e">
        <f t="shared" si="213"/>
        <v>#N/A</v>
      </c>
      <c r="E179" s="103" t="e">
        <f t="shared" si="213"/>
        <v>#N/A</v>
      </c>
      <c r="F179" s="103" t="e">
        <f t="shared" si="213"/>
        <v>#N/A</v>
      </c>
      <c r="G179" s="103" t="e">
        <f t="shared" si="213"/>
        <v>#N/A</v>
      </c>
      <c r="H179" s="103" t="e">
        <f t="shared" si="213"/>
        <v>#N/A</v>
      </c>
      <c r="I179" s="103" t="e">
        <f t="shared" si="213"/>
        <v>#N/A</v>
      </c>
      <c r="J179" s="103" t="e">
        <f t="shared" si="213"/>
        <v>#N/A</v>
      </c>
      <c r="K179" s="103" t="e">
        <f t="shared" si="213"/>
        <v>#N/A</v>
      </c>
      <c r="L179" s="103" t="e">
        <f t="shared" si="213"/>
        <v>#N/A</v>
      </c>
    </row>
    <row r="180" spans="1:12" hidden="1">
      <c r="A180" s="102" t="str">
        <f t="shared" si="212"/>
        <v>Potentiel de production de biomasse</v>
      </c>
      <c r="B180" s="103" t="e">
        <f t="shared" ref="B180:L180" si="214">MATCH(B9,Classes_Potentiel_Production_Biomasse_PS,0)</f>
        <v>#N/A</v>
      </c>
      <c r="C180" s="103" t="e">
        <f t="shared" si="214"/>
        <v>#N/A</v>
      </c>
      <c r="D180" s="103" t="e">
        <f t="shared" si="214"/>
        <v>#N/A</v>
      </c>
      <c r="E180" s="103" t="e">
        <f t="shared" si="214"/>
        <v>#N/A</v>
      </c>
      <c r="F180" s="103" t="e">
        <f t="shared" si="214"/>
        <v>#N/A</v>
      </c>
      <c r="G180" s="103" t="e">
        <f t="shared" si="214"/>
        <v>#N/A</v>
      </c>
      <c r="H180" s="103" t="e">
        <f t="shared" si="214"/>
        <v>#N/A</v>
      </c>
      <c r="I180" s="103" t="e">
        <f t="shared" si="214"/>
        <v>#N/A</v>
      </c>
      <c r="J180" s="103" t="e">
        <f t="shared" si="214"/>
        <v>#N/A</v>
      </c>
      <c r="K180" s="103" t="e">
        <f t="shared" si="214"/>
        <v>#N/A</v>
      </c>
      <c r="L180" s="103" t="e">
        <f t="shared" si="214"/>
        <v>#N/A</v>
      </c>
    </row>
    <row r="181" spans="1:12" hidden="1">
      <c r="A181" s="104" t="str">
        <f t="shared" si="212"/>
        <v>Competition excercee sur PS</v>
      </c>
      <c r="B181" s="103" t="e">
        <f t="shared" ref="B181:L181" si="215">MATCH(B10,Classes_Competition_exercee_PS,0)</f>
        <v>#N/A</v>
      </c>
      <c r="C181" s="103" t="e">
        <f t="shared" si="215"/>
        <v>#N/A</v>
      </c>
      <c r="D181" s="103" t="e">
        <f t="shared" si="215"/>
        <v>#N/A</v>
      </c>
      <c r="E181" s="103" t="e">
        <f t="shared" si="215"/>
        <v>#N/A</v>
      </c>
      <c r="F181" s="103" t="e">
        <f t="shared" si="215"/>
        <v>#N/A</v>
      </c>
      <c r="G181" s="103" t="e">
        <f t="shared" si="215"/>
        <v>#N/A</v>
      </c>
      <c r="H181" s="103" t="e">
        <f t="shared" si="215"/>
        <v>#N/A</v>
      </c>
      <c r="I181" s="103" t="e">
        <f t="shared" si="215"/>
        <v>#N/A</v>
      </c>
      <c r="J181" s="103" t="e">
        <f t="shared" si="215"/>
        <v>#N/A</v>
      </c>
      <c r="K181" s="103" t="e">
        <f t="shared" si="215"/>
        <v>#N/A</v>
      </c>
      <c r="L181" s="103" t="e">
        <f t="shared" si="215"/>
        <v>#N/A</v>
      </c>
    </row>
    <row r="182" spans="1:12" hidden="1">
      <c r="A182" s="101" t="str">
        <f t="shared" si="212"/>
        <v>Infestation adventices</v>
      </c>
      <c r="B182" s="103" t="e">
        <f t="shared" ref="B182:L182" si="216">MATCH(B11,Classes_Infestation_Adventices,0)</f>
        <v>#N/A</v>
      </c>
      <c r="C182" s="103" t="e">
        <f t="shared" si="216"/>
        <v>#N/A</v>
      </c>
      <c r="D182" s="103" t="e">
        <f t="shared" si="216"/>
        <v>#N/A</v>
      </c>
      <c r="E182" s="103" t="e">
        <f t="shared" si="216"/>
        <v>#N/A</v>
      </c>
      <c r="F182" s="103" t="e">
        <f t="shared" si="216"/>
        <v>#N/A</v>
      </c>
      <c r="G182" s="103" t="e">
        <f t="shared" si="216"/>
        <v>#N/A</v>
      </c>
      <c r="H182" s="103" t="e">
        <f t="shared" si="216"/>
        <v>#N/A</v>
      </c>
      <c r="I182" s="103" t="e">
        <f t="shared" si="216"/>
        <v>#N/A</v>
      </c>
      <c r="J182" s="103" t="e">
        <f t="shared" si="216"/>
        <v>#N/A</v>
      </c>
      <c r="K182" s="103" t="e">
        <f t="shared" si="216"/>
        <v>#N/A</v>
      </c>
      <c r="L182" s="103" t="e">
        <f t="shared" si="216"/>
        <v>#N/A</v>
      </c>
    </row>
    <row r="183" spans="1:12" hidden="1">
      <c r="A183" s="104" t="str">
        <f t="shared" si="212"/>
        <v>Competition colza sur PS</v>
      </c>
      <c r="B183" s="103" t="e">
        <f t="shared" ref="B183:L183" si="217">MATCH(B12,Classes_Competition_Colza_PS,0)</f>
        <v>#N/A</v>
      </c>
      <c r="C183" s="103" t="e">
        <f t="shared" si="217"/>
        <v>#N/A</v>
      </c>
      <c r="D183" s="103" t="e">
        <f t="shared" si="217"/>
        <v>#N/A</v>
      </c>
      <c r="E183" s="103" t="e">
        <f t="shared" si="217"/>
        <v>#N/A</v>
      </c>
      <c r="F183" s="103" t="e">
        <f t="shared" si="217"/>
        <v>#N/A</v>
      </c>
      <c r="G183" s="103" t="e">
        <f t="shared" si="217"/>
        <v>#N/A</v>
      </c>
      <c r="H183" s="103" t="e">
        <f t="shared" si="217"/>
        <v>#N/A</v>
      </c>
      <c r="I183" s="103" t="e">
        <f t="shared" si="217"/>
        <v>#N/A</v>
      </c>
      <c r="J183" s="103" t="e">
        <f t="shared" si="217"/>
        <v>#N/A</v>
      </c>
      <c r="K183" s="103" t="e">
        <f t="shared" si="217"/>
        <v>#N/A</v>
      </c>
      <c r="L183" s="103" t="e">
        <f t="shared" si="217"/>
        <v>#N/A</v>
      </c>
    </row>
    <row r="184" spans="1:12" hidden="1">
      <c r="A184" s="101" t="str">
        <f t="shared" si="212"/>
        <v>Disponibilité d'azote au semis</v>
      </c>
      <c r="B184" s="103" t="e">
        <f t="shared" ref="B184:L184" si="218">MATCH(B13,Classes_Disponibilite_N_Semis,0)</f>
        <v>#N/A</v>
      </c>
      <c r="C184" s="103" t="e">
        <f t="shared" si="218"/>
        <v>#N/A</v>
      </c>
      <c r="D184" s="103" t="e">
        <f t="shared" si="218"/>
        <v>#N/A</v>
      </c>
      <c r="E184" s="103" t="e">
        <f t="shared" si="218"/>
        <v>#N/A</v>
      </c>
      <c r="F184" s="103" t="e">
        <f t="shared" si="218"/>
        <v>#N/A</v>
      </c>
      <c r="G184" s="103" t="e">
        <f t="shared" si="218"/>
        <v>#N/A</v>
      </c>
      <c r="H184" s="103" t="e">
        <f t="shared" si="218"/>
        <v>#N/A</v>
      </c>
      <c r="I184" s="103" t="e">
        <f t="shared" si="218"/>
        <v>#N/A</v>
      </c>
      <c r="J184" s="103" t="e">
        <f t="shared" si="218"/>
        <v>#N/A</v>
      </c>
      <c r="K184" s="103" t="e">
        <f t="shared" si="218"/>
        <v>#N/A</v>
      </c>
      <c r="L184" s="103" t="e">
        <f t="shared" si="218"/>
        <v>#N/A</v>
      </c>
    </row>
    <row r="185" spans="1:12" hidden="1">
      <c r="A185" s="104" t="str">
        <f t="shared" si="212"/>
        <v>Traits PS compétition</v>
      </c>
      <c r="B185" s="103" t="e">
        <f t="shared" ref="B185:L185" si="219">MATCH(B14,Classes_Traits_PS_Competition,0)</f>
        <v>#N/A</v>
      </c>
      <c r="C185" s="103" t="e">
        <f t="shared" si="219"/>
        <v>#N/A</v>
      </c>
      <c r="D185" s="103" t="e">
        <f t="shared" si="219"/>
        <v>#N/A</v>
      </c>
      <c r="E185" s="103" t="e">
        <f t="shared" si="219"/>
        <v>#N/A</v>
      </c>
      <c r="F185" s="103" t="e">
        <f t="shared" si="219"/>
        <v>#N/A</v>
      </c>
      <c r="G185" s="103" t="e">
        <f t="shared" si="219"/>
        <v>#N/A</v>
      </c>
      <c r="H185" s="103" t="e">
        <f t="shared" si="219"/>
        <v>#N/A</v>
      </c>
      <c r="I185" s="103" t="e">
        <f t="shared" si="219"/>
        <v>#N/A</v>
      </c>
      <c r="J185" s="103" t="e">
        <f t="shared" si="219"/>
        <v>#N/A</v>
      </c>
      <c r="K185" s="103" t="e">
        <f t="shared" si="219"/>
        <v>#N/A</v>
      </c>
      <c r="L185" s="103" t="e">
        <f t="shared" si="219"/>
        <v>#N/A</v>
      </c>
    </row>
    <row r="186" spans="1:12" hidden="1">
      <c r="A186" s="102" t="str">
        <f t="shared" si="212"/>
        <v>Allelopathie PS</v>
      </c>
      <c r="B186" s="103" t="e">
        <f t="shared" ref="B186:L186" si="220">MATCH(B15,Classes_Allelopathie,0)</f>
        <v>#NAME?</v>
      </c>
      <c r="C186" s="103" t="e">
        <f t="shared" si="220"/>
        <v>#NAME?</v>
      </c>
      <c r="D186" s="103" t="e">
        <f t="shared" si="220"/>
        <v>#NAME?</v>
      </c>
      <c r="E186" s="103" t="e">
        <f t="shared" si="220"/>
        <v>#NAME?</v>
      </c>
      <c r="F186" s="103" t="e">
        <f t="shared" si="220"/>
        <v>#NAME?</v>
      </c>
      <c r="G186" s="103" t="e">
        <f t="shared" si="220"/>
        <v>#NAME?</v>
      </c>
      <c r="H186" s="103" t="e">
        <f t="shared" si="220"/>
        <v>#NAME?</v>
      </c>
      <c r="I186" s="103" t="e">
        <f t="shared" si="220"/>
        <v>#NAME?</v>
      </c>
      <c r="J186" s="103" t="e">
        <f t="shared" si="220"/>
        <v>#NAME?</v>
      </c>
      <c r="K186" s="103" t="e">
        <f t="shared" si="220"/>
        <v>#NAME?</v>
      </c>
      <c r="L186" s="103" t="e">
        <f t="shared" si="220"/>
        <v>#NAME?</v>
      </c>
    </row>
    <row r="187" spans="1:12" hidden="1">
      <c r="A187" s="104" t="str">
        <f t="shared" si="212"/>
        <v>Competition lumiere</v>
      </c>
      <c r="B187" s="103" t="e">
        <f t="shared" ref="B187:L187" si="221">MATCH(B16,Classes_Competition_lumiere,0)</f>
        <v>#N/A</v>
      </c>
      <c r="C187" s="103" t="e">
        <f t="shared" si="221"/>
        <v>#N/A</v>
      </c>
      <c r="D187" s="103" t="e">
        <f t="shared" si="221"/>
        <v>#N/A</v>
      </c>
      <c r="E187" s="103" t="e">
        <f t="shared" si="221"/>
        <v>#N/A</v>
      </c>
      <c r="F187" s="103" t="e">
        <f t="shared" si="221"/>
        <v>#N/A</v>
      </c>
      <c r="G187" s="103" t="e">
        <f t="shared" si="221"/>
        <v>#N/A</v>
      </c>
      <c r="H187" s="103" t="e">
        <f t="shared" si="221"/>
        <v>#N/A</v>
      </c>
      <c r="I187" s="103" t="e">
        <f t="shared" si="221"/>
        <v>#N/A</v>
      </c>
      <c r="J187" s="103" t="e">
        <f t="shared" si="221"/>
        <v>#N/A</v>
      </c>
      <c r="K187" s="103" t="e">
        <f t="shared" si="221"/>
        <v>#N/A</v>
      </c>
      <c r="L187" s="103" t="e">
        <f t="shared" si="221"/>
        <v>#N/A</v>
      </c>
    </row>
    <row r="188" spans="1:12" hidden="1">
      <c r="A188" s="102" t="str">
        <f t="shared" si="212"/>
        <v>Hauteur PS</v>
      </c>
      <c r="B188" s="103" t="str">
        <f t="shared" ref="B188:L188" si="222">INDEX(Classes_Hauteur_PS,B17)</f>
        <v>Fort</v>
      </c>
      <c r="C188" s="103" t="str">
        <f t="shared" si="222"/>
        <v>Fort</v>
      </c>
      <c r="D188" s="103" t="str">
        <f t="shared" si="222"/>
        <v>Moyen</v>
      </c>
      <c r="E188" s="103" t="str">
        <f t="shared" si="222"/>
        <v>Moyen</v>
      </c>
      <c r="F188" s="103" t="str">
        <f t="shared" si="222"/>
        <v>Fort</v>
      </c>
      <c r="G188" s="103" t="str">
        <f t="shared" si="222"/>
        <v>Moyen</v>
      </c>
      <c r="H188" s="103" t="str">
        <f t="shared" si="222"/>
        <v>Faible</v>
      </c>
      <c r="I188" s="103" t="str">
        <f t="shared" si="222"/>
        <v>Moyen</v>
      </c>
      <c r="J188" s="103" t="str">
        <f t="shared" si="222"/>
        <v>Moyen</v>
      </c>
      <c r="K188" s="103" t="str">
        <f t="shared" si="222"/>
        <v>Fort</v>
      </c>
      <c r="L188" s="103" t="str">
        <f t="shared" si="222"/>
        <v>Fort</v>
      </c>
    </row>
    <row r="189" spans="1:12" hidden="1">
      <c r="A189" s="102" t="str">
        <f t="shared" si="212"/>
        <v>Vitesse croissance PS</v>
      </c>
      <c r="B189" s="103" t="e">
        <f t="shared" ref="B189:L189" si="223">MATCH(B18,Classes_Vitesse_Croissance_PS,0)</f>
        <v>#N/A</v>
      </c>
      <c r="C189" s="103" t="e">
        <f t="shared" si="223"/>
        <v>#N/A</v>
      </c>
      <c r="D189" s="103" t="e">
        <f t="shared" si="223"/>
        <v>#N/A</v>
      </c>
      <c r="E189" s="103" t="e">
        <f t="shared" si="223"/>
        <v>#N/A</v>
      </c>
      <c r="F189" s="103" t="e">
        <f t="shared" si="223"/>
        <v>#N/A</v>
      </c>
      <c r="G189" s="103" t="e">
        <f t="shared" si="223"/>
        <v>#N/A</v>
      </c>
      <c r="H189" s="103" t="e">
        <f t="shared" si="223"/>
        <v>#N/A</v>
      </c>
      <c r="I189" s="103" t="e">
        <f t="shared" si="223"/>
        <v>#N/A</v>
      </c>
      <c r="J189" s="103" t="e">
        <f t="shared" si="223"/>
        <v>#N/A</v>
      </c>
      <c r="K189" s="103" t="e">
        <f t="shared" si="223"/>
        <v>#N/A</v>
      </c>
      <c r="L189" s="103" t="e">
        <f t="shared" si="223"/>
        <v>#N/A</v>
      </c>
    </row>
    <row r="190" spans="1:12" hidden="1">
      <c r="A190" s="102" t="str">
        <f t="shared" si="212"/>
        <v>Surface d'une feuille PS</v>
      </c>
      <c r="B190" s="103" t="e">
        <f t="shared" ref="B190:L190" si="224">MATCH(B19,Classes_Surface_Feuille_PS,0)</f>
        <v>#N/A</v>
      </c>
      <c r="C190" s="103" t="e">
        <f t="shared" si="224"/>
        <v>#N/A</v>
      </c>
      <c r="D190" s="103" t="e">
        <f t="shared" si="224"/>
        <v>#N/A</v>
      </c>
      <c r="E190" s="103" t="e">
        <f t="shared" si="224"/>
        <v>#N/A</v>
      </c>
      <c r="F190" s="103" t="e">
        <f t="shared" si="224"/>
        <v>#N/A</v>
      </c>
      <c r="G190" s="103" t="e">
        <f t="shared" si="224"/>
        <v>#N/A</v>
      </c>
      <c r="H190" s="103" t="e">
        <f t="shared" si="224"/>
        <v>#N/A</v>
      </c>
      <c r="I190" s="103" t="e">
        <f t="shared" si="224"/>
        <v>#N/A</v>
      </c>
      <c r="J190" s="103" t="e">
        <f t="shared" si="224"/>
        <v>#N/A</v>
      </c>
      <c r="K190" s="103" t="e">
        <f t="shared" si="224"/>
        <v>#N/A</v>
      </c>
      <c r="L190" s="103" t="e">
        <f t="shared" si="224"/>
        <v>#N/A</v>
      </c>
    </row>
    <row r="191" spans="1:12" hidden="1">
      <c r="A191" s="104" t="str">
        <f t="shared" si="212"/>
        <v>Competition azote</v>
      </c>
      <c r="B191" s="103" t="e">
        <f t="shared" ref="B191:L191" si="225">MATCH(B20,Classes_Competition_Azote_PS,0)</f>
        <v>#N/A</v>
      </c>
      <c r="C191" s="103" t="e">
        <f t="shared" si="225"/>
        <v>#N/A</v>
      </c>
      <c r="D191" s="103" t="e">
        <f t="shared" si="225"/>
        <v>#N/A</v>
      </c>
      <c r="E191" s="103" t="e">
        <f t="shared" si="225"/>
        <v>#N/A</v>
      </c>
      <c r="F191" s="103" t="e">
        <f t="shared" si="225"/>
        <v>#N/A</v>
      </c>
      <c r="G191" s="103" t="e">
        <f t="shared" si="225"/>
        <v>#N/A</v>
      </c>
      <c r="H191" s="103" t="e">
        <f t="shared" si="225"/>
        <v>#N/A</v>
      </c>
      <c r="I191" s="103" t="e">
        <f t="shared" si="225"/>
        <v>#N/A</v>
      </c>
      <c r="J191" s="103" t="e">
        <f t="shared" si="225"/>
        <v>#N/A</v>
      </c>
      <c r="K191" s="103" t="e">
        <f t="shared" si="225"/>
        <v>#N/A</v>
      </c>
      <c r="L191" s="103" t="e">
        <f t="shared" si="225"/>
        <v>#N/A</v>
      </c>
    </row>
    <row r="192" spans="1:12" hidden="1">
      <c r="A192" s="102" t="str">
        <f t="shared" si="212"/>
        <v>Nitrophilie PS</v>
      </c>
      <c r="B192" s="103" t="e">
        <f t="shared" ref="B192:L192" si="226">MATCH(B21,Classes_Nitrophilie_PS,0)</f>
        <v>#N/A</v>
      </c>
      <c r="C192" s="103" t="e">
        <f t="shared" si="226"/>
        <v>#N/A</v>
      </c>
      <c r="D192" s="103" t="e">
        <f t="shared" si="226"/>
        <v>#N/A</v>
      </c>
      <c r="E192" s="103" t="e">
        <f t="shared" si="226"/>
        <v>#N/A</v>
      </c>
      <c r="F192" s="103" t="e">
        <f t="shared" si="226"/>
        <v>#N/A</v>
      </c>
      <c r="G192" s="103" t="e">
        <f t="shared" si="226"/>
        <v>#N/A</v>
      </c>
      <c r="H192" s="103" t="e">
        <f t="shared" si="226"/>
        <v>#N/A</v>
      </c>
      <c r="I192" s="103" t="e">
        <f t="shared" si="226"/>
        <v>#N/A</v>
      </c>
      <c r="J192" s="103" t="e">
        <f t="shared" si="226"/>
        <v>#N/A</v>
      </c>
      <c r="K192" s="103" t="e">
        <f t="shared" si="226"/>
        <v>#N/A</v>
      </c>
      <c r="L192" s="103" t="e">
        <f t="shared" si="226"/>
        <v>#N/A</v>
      </c>
    </row>
    <row r="193" spans="1:12" hidden="1">
      <c r="A193" s="102" t="str">
        <f t="shared" si="212"/>
        <v>PS fixatrice N</v>
      </c>
      <c r="B193" s="103" t="e">
        <f t="shared" ref="B193:L193" si="227">MATCH(B22,Classes_PS_Fixatrice_N,0)</f>
        <v>#N/A</v>
      </c>
      <c r="C193" s="103" t="e">
        <f t="shared" si="227"/>
        <v>#N/A</v>
      </c>
      <c r="D193" s="103" t="e">
        <f t="shared" si="227"/>
        <v>#N/A</v>
      </c>
      <c r="E193" s="103" t="e">
        <f t="shared" si="227"/>
        <v>#N/A</v>
      </c>
      <c r="F193" s="103" t="e">
        <f t="shared" si="227"/>
        <v>#N/A</v>
      </c>
      <c r="G193" s="103" t="e">
        <f t="shared" si="227"/>
        <v>#N/A</v>
      </c>
      <c r="H193" s="103" t="e">
        <f t="shared" si="227"/>
        <v>#N/A</v>
      </c>
      <c r="I193" s="103" t="e">
        <f t="shared" si="227"/>
        <v>#N/A</v>
      </c>
      <c r="J193" s="103" t="e">
        <f t="shared" si="227"/>
        <v>#N/A</v>
      </c>
      <c r="K193" s="103" t="e">
        <f t="shared" si="227"/>
        <v>#N/A</v>
      </c>
      <c r="L193" s="103" t="e">
        <f t="shared" si="227"/>
        <v>#N/A</v>
      </c>
    </row>
    <row r="194" spans="1:12" hidden="1">
      <c r="A194" s="102" t="str">
        <f t="shared" si="212"/>
        <v>Vitesse croissance PS</v>
      </c>
      <c r="B194" s="103" t="e">
        <f t="shared" ref="B194:L194" si="228">MATCH(B23,Classes_Vitesse_Croissance_PS,0)</f>
        <v>#N/A</v>
      </c>
      <c r="C194" s="103" t="e">
        <f t="shared" si="228"/>
        <v>#N/A</v>
      </c>
      <c r="D194" s="103" t="e">
        <f t="shared" si="228"/>
        <v>#N/A</v>
      </c>
      <c r="E194" s="103" t="e">
        <f t="shared" si="228"/>
        <v>#N/A</v>
      </c>
      <c r="F194" s="103" t="e">
        <f t="shared" si="228"/>
        <v>#N/A</v>
      </c>
      <c r="G194" s="103" t="e">
        <f t="shared" si="228"/>
        <v>#N/A</v>
      </c>
      <c r="H194" s="103" t="e">
        <f t="shared" si="228"/>
        <v>#N/A</v>
      </c>
      <c r="I194" s="103" t="e">
        <f t="shared" si="228"/>
        <v>#N/A</v>
      </c>
      <c r="J194" s="103" t="e">
        <f t="shared" si="228"/>
        <v>#N/A</v>
      </c>
      <c r="K194" s="103" t="e">
        <f t="shared" si="228"/>
        <v>#N/A</v>
      </c>
      <c r="L194" s="103" t="e">
        <f t="shared" si="228"/>
        <v>#N/A</v>
      </c>
    </row>
    <row r="195" spans="1:12" hidden="1">
      <c r="A195" s="104" t="str">
        <f t="shared" si="212"/>
        <v>Conditions d'implantation</v>
      </c>
      <c r="B195" s="103" t="e">
        <f t="shared" ref="B195:L195" si="229">MATCH(B24,Classes_Conditions_Implantation,0)</f>
        <v>#N/A</v>
      </c>
      <c r="C195" s="103" t="e">
        <f t="shared" si="229"/>
        <v>#N/A</v>
      </c>
      <c r="D195" s="103" t="e">
        <f t="shared" si="229"/>
        <v>#N/A</v>
      </c>
      <c r="E195" s="103" t="e">
        <f t="shared" si="229"/>
        <v>#N/A</v>
      </c>
      <c r="F195" s="103" t="e">
        <f t="shared" si="229"/>
        <v>#N/A</v>
      </c>
      <c r="G195" s="103" t="e">
        <f t="shared" si="229"/>
        <v>#N/A</v>
      </c>
      <c r="H195" s="103" t="e">
        <f t="shared" si="229"/>
        <v>#N/A</v>
      </c>
      <c r="I195" s="103" t="e">
        <f t="shared" si="229"/>
        <v>#N/A</v>
      </c>
      <c r="J195" s="103" t="e">
        <f t="shared" si="229"/>
        <v>#N/A</v>
      </c>
      <c r="K195" s="103" t="e">
        <f t="shared" si="229"/>
        <v>#N/A</v>
      </c>
      <c r="L195" s="103" t="e">
        <f t="shared" si="229"/>
        <v>#N/A</v>
      </c>
    </row>
    <row r="196" spans="1:12" hidden="1">
      <c r="A196" s="104" t="str">
        <f t="shared" si="212"/>
        <v>Risque de sécheresse</v>
      </c>
      <c r="B196" s="103" t="e">
        <f t="shared" ref="B196:L196" si="230">MATCH(B25,Classes_Risque_Secheresse,0)</f>
        <v>#N/A</v>
      </c>
      <c r="C196" s="103" t="e">
        <f t="shared" si="230"/>
        <v>#N/A</v>
      </c>
      <c r="D196" s="103" t="e">
        <f t="shared" si="230"/>
        <v>#N/A</v>
      </c>
      <c r="E196" s="103" t="e">
        <f t="shared" si="230"/>
        <v>#N/A</v>
      </c>
      <c r="F196" s="103" t="e">
        <f t="shared" si="230"/>
        <v>#N/A</v>
      </c>
      <c r="G196" s="103" t="e">
        <f t="shared" si="230"/>
        <v>#N/A</v>
      </c>
      <c r="H196" s="103" t="e">
        <f t="shared" si="230"/>
        <v>#N/A</v>
      </c>
      <c r="I196" s="103" t="e">
        <f t="shared" si="230"/>
        <v>#N/A</v>
      </c>
      <c r="J196" s="103" t="e">
        <f t="shared" si="230"/>
        <v>#N/A</v>
      </c>
      <c r="K196" s="103" t="e">
        <f t="shared" si="230"/>
        <v>#N/A</v>
      </c>
      <c r="L196" s="103" t="e">
        <f t="shared" si="230"/>
        <v>#N/A</v>
      </c>
    </row>
    <row r="197" spans="1:12" hidden="1">
      <c r="A197" s="101" t="str">
        <f t="shared" si="212"/>
        <v>Déficit hydrique</v>
      </c>
      <c r="B197" s="103" t="e">
        <f t="shared" ref="B197:L197" si="231">MATCH(B26,Classes_Deficit_hydrique,0)</f>
        <v>#N/A</v>
      </c>
      <c r="C197" s="103" t="e">
        <f t="shared" si="231"/>
        <v>#N/A</v>
      </c>
      <c r="D197" s="103" t="e">
        <f t="shared" si="231"/>
        <v>#N/A</v>
      </c>
      <c r="E197" s="103" t="e">
        <f t="shared" si="231"/>
        <v>#N/A</v>
      </c>
      <c r="F197" s="103" t="e">
        <f t="shared" si="231"/>
        <v>#N/A</v>
      </c>
      <c r="G197" s="103" t="e">
        <f t="shared" si="231"/>
        <v>#N/A</v>
      </c>
      <c r="H197" s="103" t="e">
        <f t="shared" si="231"/>
        <v>#N/A</v>
      </c>
      <c r="I197" s="103" t="e">
        <f t="shared" si="231"/>
        <v>#N/A</v>
      </c>
      <c r="J197" s="103" t="e">
        <f t="shared" si="231"/>
        <v>#N/A</v>
      </c>
      <c r="K197" s="103" t="e">
        <f t="shared" si="231"/>
        <v>#N/A</v>
      </c>
      <c r="L197" s="103" t="e">
        <f t="shared" si="231"/>
        <v>#N/A</v>
      </c>
    </row>
    <row r="198" spans="1:12" hidden="1">
      <c r="A198" s="102" t="str">
        <f t="shared" si="212"/>
        <v>Resistance à la sécheresse PS</v>
      </c>
      <c r="B198" s="103" t="e">
        <f t="shared" ref="B198:L198" si="232">MATCH(B27,Classes_Resistance_Secheresse_PS,0)</f>
        <v>#N/A</v>
      </c>
      <c r="C198" s="103" t="e">
        <f t="shared" si="232"/>
        <v>#N/A</v>
      </c>
      <c r="D198" s="103" t="e">
        <f t="shared" si="232"/>
        <v>#N/A</v>
      </c>
      <c r="E198" s="103" t="e">
        <f t="shared" si="232"/>
        <v>#N/A</v>
      </c>
      <c r="F198" s="103" t="e">
        <f t="shared" si="232"/>
        <v>#N/A</v>
      </c>
      <c r="G198" s="103" t="e">
        <f t="shared" si="232"/>
        <v>#N/A</v>
      </c>
      <c r="H198" s="103" t="e">
        <f t="shared" si="232"/>
        <v>#N/A</v>
      </c>
      <c r="I198" s="103" t="e">
        <f t="shared" si="232"/>
        <v>#N/A</v>
      </c>
      <c r="J198" s="103" t="e">
        <f t="shared" si="232"/>
        <v>#N/A</v>
      </c>
      <c r="K198" s="103" t="e">
        <f t="shared" si="232"/>
        <v>#N/A</v>
      </c>
      <c r="L198" s="103" t="e">
        <f t="shared" si="232"/>
        <v>#N/A</v>
      </c>
    </row>
    <row r="199" spans="1:12" hidden="1">
      <c r="A199" s="104" t="str">
        <f t="shared" si="212"/>
        <v>Dégâts limaces</v>
      </c>
      <c r="B199" s="103" t="e">
        <f t="shared" ref="B199:K199" si="233">MATCH(B28,Classes_Degats_Limaces,0)</f>
        <v>#N/A</v>
      </c>
      <c r="C199" s="103" t="e">
        <f t="shared" si="233"/>
        <v>#N/A</v>
      </c>
      <c r="D199" s="103" t="e">
        <f t="shared" si="233"/>
        <v>#N/A</v>
      </c>
      <c r="E199" s="103" t="e">
        <f t="shared" si="233"/>
        <v>#N/A</v>
      </c>
      <c r="F199" s="103" t="e">
        <f t="shared" si="233"/>
        <v>#N/A</v>
      </c>
      <c r="G199" s="103" t="e">
        <f t="shared" si="233"/>
        <v>#N/A</v>
      </c>
      <c r="H199" s="103" t="e">
        <f t="shared" si="233"/>
        <v>#N/A</v>
      </c>
      <c r="I199" s="103" t="e">
        <f t="shared" si="233"/>
        <v>#N/A</v>
      </c>
      <c r="J199" s="103" t="e">
        <f t="shared" si="233"/>
        <v>#N/A</v>
      </c>
      <c r="K199" s="103" t="e">
        <f t="shared" si="233"/>
        <v>#N/A</v>
      </c>
      <c r="L199" s="103" t="e">
        <f>MATCH(L28,Classes_Degats_Limaces,0)</f>
        <v>#N/A</v>
      </c>
    </row>
    <row r="200" spans="1:12" hidden="1">
      <c r="A200" s="102" t="str">
        <f t="shared" si="212"/>
        <v>Appetence limaces PS</v>
      </c>
      <c r="B200" s="103" t="e">
        <f t="shared" ref="B200:L200" si="234">MATCH(B29,Classes_Appetence_Limaces_PS,0)</f>
        <v>#N/A</v>
      </c>
      <c r="C200" s="103" t="e">
        <f t="shared" si="234"/>
        <v>#N/A</v>
      </c>
      <c r="D200" s="103" t="e">
        <f t="shared" si="234"/>
        <v>#N/A</v>
      </c>
      <c r="E200" s="103" t="e">
        <f t="shared" si="234"/>
        <v>#N/A</v>
      </c>
      <c r="F200" s="103" t="e">
        <f t="shared" si="234"/>
        <v>#N/A</v>
      </c>
      <c r="G200" s="103" t="e">
        <f t="shared" si="234"/>
        <v>#N/A</v>
      </c>
      <c r="H200" s="103" t="e">
        <f t="shared" si="234"/>
        <v>#N/A</v>
      </c>
      <c r="I200" s="103" t="e">
        <f t="shared" si="234"/>
        <v>#N/A</v>
      </c>
      <c r="J200" s="103" t="e">
        <f t="shared" si="234"/>
        <v>#N/A</v>
      </c>
      <c r="K200" s="103" t="e">
        <f t="shared" si="234"/>
        <v>#N/A</v>
      </c>
      <c r="L200" s="103" t="e">
        <f t="shared" si="234"/>
        <v>#N/A</v>
      </c>
    </row>
    <row r="201" spans="1:12" hidden="1">
      <c r="A201" s="101" t="str">
        <f t="shared" si="212"/>
        <v>Risque limaces parcelle</v>
      </c>
      <c r="B201" s="103" t="e">
        <f t="shared" ref="B201:L201" si="235">MATCH(B30,Classes_risque_Limaces_Parcelle,0)</f>
        <v>#N/A</v>
      </c>
      <c r="C201" s="103" t="e">
        <f t="shared" si="235"/>
        <v>#N/A</v>
      </c>
      <c r="D201" s="103" t="e">
        <f t="shared" si="235"/>
        <v>#N/A</v>
      </c>
      <c r="E201" s="103" t="e">
        <f t="shared" si="235"/>
        <v>#N/A</v>
      </c>
      <c r="F201" s="103" t="e">
        <f t="shared" si="235"/>
        <v>#N/A</v>
      </c>
      <c r="G201" s="103" t="e">
        <f t="shared" si="235"/>
        <v>#N/A</v>
      </c>
      <c r="H201" s="103" t="e">
        <f t="shared" si="235"/>
        <v>#N/A</v>
      </c>
      <c r="I201" s="103" t="e">
        <f t="shared" si="235"/>
        <v>#N/A</v>
      </c>
      <c r="J201" s="103" t="e">
        <f t="shared" si="235"/>
        <v>#N/A</v>
      </c>
      <c r="K201" s="103" t="e">
        <f t="shared" si="235"/>
        <v>#N/A</v>
      </c>
      <c r="L201" s="103" t="e">
        <f t="shared" si="235"/>
        <v>#N/A</v>
      </c>
    </row>
    <row r="202" spans="1:12" hidden="1">
      <c r="A202" s="104" t="str">
        <f t="shared" si="212"/>
        <v>Adequation PS - pH sol</v>
      </c>
      <c r="B202" s="103" t="e">
        <f t="shared" ref="B202:L202" si="236">MATCH(B31,Classes_Adequation_PS_PH_Sol,0)</f>
        <v>#N/A</v>
      </c>
      <c r="C202" s="103" t="e">
        <f t="shared" si="236"/>
        <v>#N/A</v>
      </c>
      <c r="D202" s="103" t="e">
        <f t="shared" si="236"/>
        <v>#N/A</v>
      </c>
      <c r="E202" s="103" t="e">
        <f t="shared" si="236"/>
        <v>#N/A</v>
      </c>
      <c r="F202" s="103" t="e">
        <f t="shared" si="236"/>
        <v>#N/A</v>
      </c>
      <c r="G202" s="103" t="e">
        <f t="shared" si="236"/>
        <v>#N/A</v>
      </c>
      <c r="H202" s="103" t="e">
        <f t="shared" si="236"/>
        <v>#N/A</v>
      </c>
      <c r="I202" s="103" t="e">
        <f t="shared" si="236"/>
        <v>#N/A</v>
      </c>
      <c r="J202" s="103" t="e">
        <f t="shared" si="236"/>
        <v>#N/A</v>
      </c>
      <c r="K202" s="103" t="e">
        <f t="shared" si="236"/>
        <v>#N/A</v>
      </c>
      <c r="L202" s="103" t="e">
        <f t="shared" si="236"/>
        <v>#N/A</v>
      </c>
    </row>
    <row r="203" spans="1:12" hidden="1">
      <c r="A203" s="101" t="str">
        <f t="shared" si="212"/>
        <v>pH sol</v>
      </c>
      <c r="B203" s="103" t="e">
        <f t="shared" ref="B203:L203" si="237">MATCH(B32,Classes_pH_Sol,0)</f>
        <v>#N/A</v>
      </c>
      <c r="C203" s="103" t="e">
        <f t="shared" si="237"/>
        <v>#N/A</v>
      </c>
      <c r="D203" s="103" t="e">
        <f t="shared" si="237"/>
        <v>#N/A</v>
      </c>
      <c r="E203" s="103" t="e">
        <f t="shared" si="237"/>
        <v>#N/A</v>
      </c>
      <c r="F203" s="103" t="e">
        <f t="shared" si="237"/>
        <v>#N/A</v>
      </c>
      <c r="G203" s="103" t="e">
        <f t="shared" si="237"/>
        <v>#N/A</v>
      </c>
      <c r="H203" s="103" t="e">
        <f t="shared" si="237"/>
        <v>#N/A</v>
      </c>
      <c r="I203" s="103" t="e">
        <f t="shared" si="237"/>
        <v>#N/A</v>
      </c>
      <c r="J203" s="103" t="e">
        <f t="shared" si="237"/>
        <v>#N/A</v>
      </c>
      <c r="K203" s="103" t="e">
        <f t="shared" si="237"/>
        <v>#N/A</v>
      </c>
      <c r="L203" s="103" t="e">
        <f t="shared" si="237"/>
        <v>#N/A</v>
      </c>
    </row>
    <row r="204" spans="1:12" hidden="1">
      <c r="A204" s="102" t="str">
        <f t="shared" si="212"/>
        <v>Preference pH PS</v>
      </c>
      <c r="B204" s="103" t="e">
        <f t="shared" ref="B204:L204" si="238">MATCH(B33,Classes_Preference_PH_PS,0)</f>
        <v>#N/A</v>
      </c>
      <c r="C204" s="103" t="e">
        <f t="shared" si="238"/>
        <v>#N/A</v>
      </c>
      <c r="D204" s="103" t="e">
        <f t="shared" si="238"/>
        <v>#N/A</v>
      </c>
      <c r="E204" s="103" t="e">
        <f t="shared" si="238"/>
        <v>#N/A</v>
      </c>
      <c r="F204" s="103" t="e">
        <f t="shared" si="238"/>
        <v>#N/A</v>
      </c>
      <c r="G204" s="103" t="e">
        <f t="shared" si="238"/>
        <v>#N/A</v>
      </c>
      <c r="H204" s="103" t="e">
        <f t="shared" si="238"/>
        <v>#N/A</v>
      </c>
      <c r="I204" s="103" t="e">
        <f t="shared" si="238"/>
        <v>#N/A</v>
      </c>
      <c r="J204" s="103" t="e">
        <f t="shared" si="238"/>
        <v>#N/A</v>
      </c>
      <c r="K204" s="103" t="e">
        <f t="shared" si="238"/>
        <v>#N/A</v>
      </c>
      <c r="L204" s="103" t="e">
        <f t="shared" si="238"/>
        <v>#N/A</v>
      </c>
    </row>
    <row r="205" spans="1:12" hidden="1">
      <c r="A205" s="104" t="str">
        <f t="shared" si="212"/>
        <v>Ressources pour la croissance PS</v>
      </c>
      <c r="B205" s="103" t="e">
        <f t="shared" ref="B205:L205" si="239">MATCH(B34,Classes_Ressources_Croissance_PS,0)</f>
        <v>#N/A</v>
      </c>
      <c r="C205" s="103" t="e">
        <f t="shared" si="239"/>
        <v>#N/A</v>
      </c>
      <c r="D205" s="103" t="e">
        <f t="shared" si="239"/>
        <v>#N/A</v>
      </c>
      <c r="E205" s="103" t="e">
        <f t="shared" si="239"/>
        <v>#N/A</v>
      </c>
      <c r="F205" s="103" t="e">
        <f t="shared" si="239"/>
        <v>#N/A</v>
      </c>
      <c r="G205" s="103" t="e">
        <f t="shared" si="239"/>
        <v>#N/A</v>
      </c>
      <c r="H205" s="103" t="e">
        <f t="shared" si="239"/>
        <v>#N/A</v>
      </c>
      <c r="I205" s="103" t="e">
        <f t="shared" si="239"/>
        <v>#N/A</v>
      </c>
      <c r="J205" s="103" t="e">
        <f t="shared" si="239"/>
        <v>#N/A</v>
      </c>
      <c r="K205" s="103" t="e">
        <f t="shared" si="239"/>
        <v>#N/A</v>
      </c>
      <c r="L205" s="103" t="e">
        <f t="shared" si="239"/>
        <v>#N/A</v>
      </c>
    </row>
    <row r="206" spans="1:12" hidden="1">
      <c r="A206" s="104" t="str">
        <f t="shared" si="212"/>
        <v>Alimentation azotée PS</v>
      </c>
      <c r="B206" s="103" t="e">
        <f t="shared" ref="B206:L206" si="240">MATCH(B35,Classes_Alimentation_Azotee_PS,0)</f>
        <v>#N/A</v>
      </c>
      <c r="C206" s="103" t="e">
        <f t="shared" si="240"/>
        <v>#N/A</v>
      </c>
      <c r="D206" s="103" t="e">
        <f t="shared" si="240"/>
        <v>#N/A</v>
      </c>
      <c r="E206" s="103" t="e">
        <f t="shared" si="240"/>
        <v>#N/A</v>
      </c>
      <c r="F206" s="103" t="e">
        <f t="shared" si="240"/>
        <v>#N/A</v>
      </c>
      <c r="G206" s="103" t="e">
        <f t="shared" si="240"/>
        <v>#N/A</v>
      </c>
      <c r="H206" s="103" t="e">
        <f t="shared" si="240"/>
        <v>#N/A</v>
      </c>
      <c r="I206" s="103" t="e">
        <f t="shared" si="240"/>
        <v>#N/A</v>
      </c>
      <c r="J206" s="103" t="e">
        <f t="shared" si="240"/>
        <v>#N/A</v>
      </c>
      <c r="K206" s="103" t="e">
        <f t="shared" si="240"/>
        <v>#N/A</v>
      </c>
      <c r="L206" s="103" t="e">
        <f t="shared" si="240"/>
        <v>#N/A</v>
      </c>
    </row>
    <row r="207" spans="1:12" hidden="1">
      <c r="A207" s="101" t="str">
        <f t="shared" si="212"/>
        <v>Disponibilité d'azote au semis</v>
      </c>
      <c r="B207" s="103" t="e">
        <f t="shared" ref="B207:L207" si="241">MATCH(B36,Classes_Disponibilite_N_Semis,0)</f>
        <v>#N/A</v>
      </c>
      <c r="C207" s="103" t="e">
        <f t="shared" si="241"/>
        <v>#N/A</v>
      </c>
      <c r="D207" s="103" t="e">
        <f t="shared" si="241"/>
        <v>#N/A</v>
      </c>
      <c r="E207" s="103" t="e">
        <f t="shared" si="241"/>
        <v>#N/A</v>
      </c>
      <c r="F207" s="103" t="e">
        <f t="shared" si="241"/>
        <v>#N/A</v>
      </c>
      <c r="G207" s="103" t="e">
        <f t="shared" si="241"/>
        <v>#N/A</v>
      </c>
      <c r="H207" s="103" t="e">
        <f t="shared" si="241"/>
        <v>#N/A</v>
      </c>
      <c r="I207" s="103" t="e">
        <f t="shared" si="241"/>
        <v>#N/A</v>
      </c>
      <c r="J207" s="103" t="e">
        <f t="shared" si="241"/>
        <v>#N/A</v>
      </c>
      <c r="K207" s="103" t="e">
        <f t="shared" si="241"/>
        <v>#N/A</v>
      </c>
      <c r="L207" s="103" t="e">
        <f t="shared" si="241"/>
        <v>#N/A</v>
      </c>
    </row>
    <row r="208" spans="1:12" hidden="1">
      <c r="A208" s="102" t="str">
        <f t="shared" si="212"/>
        <v>PS fixatrice N</v>
      </c>
      <c r="B208" s="103" t="e">
        <f t="shared" ref="B208:L208" si="242">MATCH(B37,Classes_PS_Fixatrice_N,0)</f>
        <v>#N/A</v>
      </c>
      <c r="C208" s="103" t="e">
        <f t="shared" si="242"/>
        <v>#N/A</v>
      </c>
      <c r="D208" s="103" t="e">
        <f t="shared" si="242"/>
        <v>#N/A</v>
      </c>
      <c r="E208" s="103" t="e">
        <f t="shared" si="242"/>
        <v>#N/A</v>
      </c>
      <c r="F208" s="103" t="e">
        <f t="shared" si="242"/>
        <v>#N/A</v>
      </c>
      <c r="G208" s="103" t="e">
        <f t="shared" si="242"/>
        <v>#N/A</v>
      </c>
      <c r="H208" s="103" t="e">
        <f t="shared" si="242"/>
        <v>#N/A</v>
      </c>
      <c r="I208" s="103" t="e">
        <f t="shared" si="242"/>
        <v>#N/A</v>
      </c>
      <c r="J208" s="103" t="e">
        <f t="shared" si="242"/>
        <v>#N/A</v>
      </c>
      <c r="K208" s="103" t="e">
        <f t="shared" si="242"/>
        <v>#N/A</v>
      </c>
      <c r="L208" s="103" t="e">
        <f t="shared" si="242"/>
        <v>#N/A</v>
      </c>
    </row>
    <row r="209" spans="1:12" hidden="1">
      <c r="A209" s="104" t="str">
        <f t="shared" si="212"/>
        <v>Temperature et rayonnement</v>
      </c>
      <c r="B209" s="103" t="e">
        <f t="shared" ref="B209:L209" si="243">MATCH(B38,Classes_Temperature_Rayonnement,0)</f>
        <v>#N/A</v>
      </c>
      <c r="C209" s="103" t="e">
        <f t="shared" si="243"/>
        <v>#N/A</v>
      </c>
      <c r="D209" s="103" t="e">
        <f t="shared" si="243"/>
        <v>#N/A</v>
      </c>
      <c r="E209" s="103" t="e">
        <f t="shared" si="243"/>
        <v>#N/A</v>
      </c>
      <c r="F209" s="103" t="e">
        <f t="shared" si="243"/>
        <v>#N/A</v>
      </c>
      <c r="G209" s="103" t="e">
        <f t="shared" si="243"/>
        <v>#N/A</v>
      </c>
      <c r="H209" s="103" t="e">
        <f t="shared" si="243"/>
        <v>#N/A</v>
      </c>
      <c r="I209" s="103" t="e">
        <f t="shared" si="243"/>
        <v>#N/A</v>
      </c>
      <c r="J209" s="103" t="e">
        <f t="shared" si="243"/>
        <v>#N/A</v>
      </c>
      <c r="K209" s="103" t="e">
        <f t="shared" si="243"/>
        <v>#N/A</v>
      </c>
      <c r="L209" s="103" t="e">
        <f t="shared" si="243"/>
        <v>#N/A</v>
      </c>
    </row>
    <row r="210" spans="1:12" hidden="1">
      <c r="A210" s="101" t="str">
        <f t="shared" si="212"/>
        <v>Date de semis</v>
      </c>
      <c r="B210" s="103" t="e">
        <f t="shared" ref="B210:L210" si="244">MATCH(B39,Classes_Date_semis,0)</f>
        <v>#N/A</v>
      </c>
      <c r="C210" s="103" t="e">
        <f t="shared" si="244"/>
        <v>#N/A</v>
      </c>
      <c r="D210" s="103" t="e">
        <f t="shared" si="244"/>
        <v>#N/A</v>
      </c>
      <c r="E210" s="103" t="e">
        <f t="shared" si="244"/>
        <v>#N/A</v>
      </c>
      <c r="F210" s="103" t="e">
        <f t="shared" si="244"/>
        <v>#N/A</v>
      </c>
      <c r="G210" s="103" t="e">
        <f t="shared" si="244"/>
        <v>#N/A</v>
      </c>
      <c r="H210" s="103" t="e">
        <f t="shared" si="244"/>
        <v>#N/A</v>
      </c>
      <c r="I210" s="103" t="e">
        <f t="shared" si="244"/>
        <v>#N/A</v>
      </c>
      <c r="J210" s="103" t="e">
        <f t="shared" si="244"/>
        <v>#N/A</v>
      </c>
      <c r="K210" s="103" t="e">
        <f t="shared" si="244"/>
        <v>#N/A</v>
      </c>
      <c r="L210" s="103" t="e">
        <f t="shared" si="244"/>
        <v>#N/A</v>
      </c>
    </row>
    <row r="211" spans="1:12" hidden="1">
      <c r="A211" s="102" t="str">
        <f t="shared" si="212"/>
        <v>Sensibilite gel PS</v>
      </c>
      <c r="B211" s="103" t="e">
        <f t="shared" ref="B211:L211" si="245">MATCH(B40,Classes_sensibilite_gel_PS,0)</f>
        <v>#N/A</v>
      </c>
      <c r="C211" s="103" t="e">
        <f t="shared" si="245"/>
        <v>#N/A</v>
      </c>
      <c r="D211" s="103" t="e">
        <f t="shared" si="245"/>
        <v>#N/A</v>
      </c>
      <c r="E211" s="103" t="e">
        <f t="shared" si="245"/>
        <v>#N/A</v>
      </c>
      <c r="F211" s="103" t="e">
        <f t="shared" si="245"/>
        <v>#N/A</v>
      </c>
      <c r="G211" s="103" t="e">
        <f t="shared" si="245"/>
        <v>#N/A</v>
      </c>
      <c r="H211" s="103" t="e">
        <f t="shared" si="245"/>
        <v>#N/A</v>
      </c>
      <c r="I211" s="103" t="e">
        <f t="shared" si="245"/>
        <v>#N/A</v>
      </c>
      <c r="J211" s="103" t="e">
        <f t="shared" si="245"/>
        <v>#N/A</v>
      </c>
      <c r="K211" s="103" t="e">
        <f t="shared" si="245"/>
        <v>#N/A</v>
      </c>
      <c r="L211" s="103" t="e">
        <f t="shared" si="245"/>
        <v>#N/A</v>
      </c>
    </row>
    <row r="212" spans="1:12" hidden="1"/>
    <row r="213" spans="1:12" hidden="1"/>
    <row r="214" spans="1:12" hidden="1">
      <c r="A214" s="106" t="s">
        <v>72</v>
      </c>
    </row>
    <row r="215" spans="1:12" hidden="1">
      <c r="A215" s="104" t="s">
        <v>309</v>
      </c>
    </row>
    <row r="216" spans="1:12" hidden="1">
      <c r="A216" s="102" t="str">
        <f>INDEX(Allelopathie_PS,1,A$6)</f>
        <v>Allelopathie PS</v>
      </c>
      <c r="B216" s="102">
        <f>INDEX(Allelopathie_PS,1,B$6)</f>
        <v>1</v>
      </c>
    </row>
    <row r="217" spans="1:12" hidden="1">
      <c r="A217" s="104" t="s">
        <v>352</v>
      </c>
    </row>
    <row r="218" spans="1:12" hidden="1">
      <c r="A218" s="102" t="s">
        <v>29</v>
      </c>
      <c r="B218" s="103"/>
    </row>
    <row r="219" spans="1:12" hidden="1">
      <c r="A219" s="102" t="s">
        <v>31</v>
      </c>
    </row>
    <row r="220" spans="1:12" hidden="1">
      <c r="A220" s="102" t="s">
        <v>330</v>
      </c>
    </row>
    <row r="221" spans="1:12" hidden="1">
      <c r="A221" s="104" t="s">
        <v>351</v>
      </c>
    </row>
    <row r="222" spans="1:12" hidden="1">
      <c r="A222" s="102" t="s">
        <v>30</v>
      </c>
    </row>
    <row r="223" spans="1:12" hidden="1">
      <c r="A223" s="102" t="s">
        <v>26</v>
      </c>
    </row>
    <row r="224" spans="1:12" hidden="1">
      <c r="A224" s="102" t="s">
        <v>31</v>
      </c>
    </row>
    <row r="225" spans="1:1" hidden="1">
      <c r="A225" s="103" t="s">
        <v>355</v>
      </c>
    </row>
    <row r="226" spans="1:1" hidden="1">
      <c r="A226" s="102" t="s">
        <v>33</v>
      </c>
    </row>
    <row r="227" spans="1:1" hidden="1"/>
  </sheetData>
  <sheetProtection selectLockedCells="1"/>
  <pageMargins left="0.78740157499999996" right="0.78740157499999996" top="0.984251969" bottom="0.984251969"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enableFormatConditionsCalculation="0"/>
  <dimension ref="A1:G1055"/>
  <sheetViews>
    <sheetView workbookViewId="0">
      <selection activeCell="H2" sqref="H2"/>
    </sheetView>
  </sheetViews>
  <sheetFormatPr baseColWidth="10" defaultColWidth="10.83203125" defaultRowHeight="15" x14ac:dyDescent="0"/>
  <cols>
    <col min="1" max="1" width="29.5" style="100" bestFit="1" customWidth="1"/>
    <col min="2" max="4" width="10.83203125" style="100"/>
    <col min="5" max="5" width="18.33203125" style="100" bestFit="1" customWidth="1"/>
    <col min="6" max="6" width="24" style="100" bestFit="1" customWidth="1"/>
    <col min="7" max="7" width="11.6640625" style="100" bestFit="1" customWidth="1"/>
    <col min="8" max="8" width="25.1640625" style="100" bestFit="1" customWidth="1"/>
    <col min="9" max="16384" width="10.83203125" style="100"/>
  </cols>
  <sheetData>
    <row r="1" spans="1:6">
      <c r="A1" s="99" t="s">
        <v>379</v>
      </c>
      <c r="B1" s="99" t="s">
        <v>30</v>
      </c>
      <c r="C1" s="99" t="s">
        <v>26</v>
      </c>
      <c r="D1" s="99" t="s">
        <v>31</v>
      </c>
      <c r="E1" s="99" t="s">
        <v>361</v>
      </c>
      <c r="F1" s="99" t="s">
        <v>351</v>
      </c>
    </row>
    <row r="2" spans="1:6">
      <c r="A2" s="100">
        <v>1</v>
      </c>
      <c r="B2" s="100">
        <v>1</v>
      </c>
      <c r="C2" s="100">
        <v>1</v>
      </c>
      <c r="D2" s="100">
        <v>1</v>
      </c>
      <c r="E2" s="100" t="str">
        <f t="shared" ref="E2:E19" si="0">CONCATENATE(B2,C2,D2)</f>
        <v>111</v>
      </c>
      <c r="F2" s="100">
        <v>1</v>
      </c>
    </row>
    <row r="3" spans="1:6">
      <c r="A3" s="100">
        <v>2</v>
      </c>
      <c r="B3" s="100">
        <v>1</v>
      </c>
      <c r="C3" s="100">
        <v>1</v>
      </c>
      <c r="D3" s="100">
        <v>2</v>
      </c>
      <c r="E3" s="100" t="str">
        <f t="shared" si="0"/>
        <v>112</v>
      </c>
      <c r="F3" s="100">
        <v>1</v>
      </c>
    </row>
    <row r="4" spans="1:6">
      <c r="A4" s="100">
        <v>3</v>
      </c>
      <c r="B4" s="100">
        <v>1</v>
      </c>
      <c r="C4" s="100">
        <v>1</v>
      </c>
      <c r="D4" s="100">
        <v>3</v>
      </c>
      <c r="E4" s="100" t="str">
        <f t="shared" si="0"/>
        <v>113</v>
      </c>
      <c r="F4" s="100">
        <v>2</v>
      </c>
    </row>
    <row r="5" spans="1:6">
      <c r="A5" s="100">
        <v>4</v>
      </c>
      <c r="B5" s="100">
        <v>1</v>
      </c>
      <c r="C5" s="100">
        <v>2</v>
      </c>
      <c r="D5" s="100">
        <v>1</v>
      </c>
      <c r="E5" s="100" t="str">
        <f t="shared" si="0"/>
        <v>121</v>
      </c>
      <c r="F5" s="100">
        <v>1</v>
      </c>
    </row>
    <row r="6" spans="1:6">
      <c r="A6" s="100">
        <v>5</v>
      </c>
      <c r="B6" s="100">
        <v>1</v>
      </c>
      <c r="C6" s="100">
        <v>2</v>
      </c>
      <c r="D6" s="100">
        <v>2</v>
      </c>
      <c r="E6" s="100" t="str">
        <f t="shared" si="0"/>
        <v>122</v>
      </c>
      <c r="F6" s="100">
        <v>2</v>
      </c>
    </row>
    <row r="7" spans="1:6">
      <c r="A7" s="100">
        <v>6</v>
      </c>
      <c r="B7" s="100">
        <v>1</v>
      </c>
      <c r="C7" s="100">
        <v>2</v>
      </c>
      <c r="D7" s="100">
        <v>3</v>
      </c>
      <c r="E7" s="100" t="str">
        <f t="shared" si="0"/>
        <v>123</v>
      </c>
      <c r="F7" s="100">
        <v>2</v>
      </c>
    </row>
    <row r="8" spans="1:6">
      <c r="A8" s="100">
        <v>7</v>
      </c>
      <c r="B8" s="100">
        <v>2</v>
      </c>
      <c r="C8" s="100">
        <v>1</v>
      </c>
      <c r="D8" s="100">
        <v>1</v>
      </c>
      <c r="E8" s="100" t="str">
        <f t="shared" si="0"/>
        <v>211</v>
      </c>
      <c r="F8" s="100">
        <v>2</v>
      </c>
    </row>
    <row r="9" spans="1:6">
      <c r="A9" s="100">
        <v>8</v>
      </c>
      <c r="B9" s="100">
        <v>2</v>
      </c>
      <c r="C9" s="100">
        <v>1</v>
      </c>
      <c r="D9" s="100">
        <v>2</v>
      </c>
      <c r="E9" s="100" t="str">
        <f t="shared" si="0"/>
        <v>212</v>
      </c>
      <c r="F9" s="100">
        <v>2</v>
      </c>
    </row>
    <row r="10" spans="1:6">
      <c r="A10" s="100">
        <v>9</v>
      </c>
      <c r="B10" s="100">
        <v>2</v>
      </c>
      <c r="C10" s="100">
        <v>1</v>
      </c>
      <c r="D10" s="100">
        <v>3</v>
      </c>
      <c r="E10" s="100" t="str">
        <f t="shared" si="0"/>
        <v>213</v>
      </c>
      <c r="F10" s="100">
        <v>3</v>
      </c>
    </row>
    <row r="11" spans="1:6">
      <c r="A11" s="100">
        <v>10</v>
      </c>
      <c r="B11" s="100">
        <v>2</v>
      </c>
      <c r="C11" s="100">
        <v>2</v>
      </c>
      <c r="D11" s="100">
        <v>1</v>
      </c>
      <c r="E11" s="100" t="str">
        <f t="shared" si="0"/>
        <v>221</v>
      </c>
      <c r="F11" s="100">
        <v>2</v>
      </c>
    </row>
    <row r="12" spans="1:6">
      <c r="A12" s="100">
        <v>11</v>
      </c>
      <c r="B12" s="100">
        <v>2</v>
      </c>
      <c r="C12" s="100">
        <v>2</v>
      </c>
      <c r="D12" s="100">
        <v>2</v>
      </c>
      <c r="E12" s="100" t="str">
        <f t="shared" si="0"/>
        <v>222</v>
      </c>
      <c r="F12" s="100">
        <v>3</v>
      </c>
    </row>
    <row r="13" spans="1:6">
      <c r="A13" s="100">
        <v>12</v>
      </c>
      <c r="B13" s="100">
        <v>2</v>
      </c>
      <c r="C13" s="100">
        <v>2</v>
      </c>
      <c r="D13" s="100">
        <v>3</v>
      </c>
      <c r="E13" s="100" t="str">
        <f t="shared" si="0"/>
        <v>223</v>
      </c>
      <c r="F13" s="100">
        <v>3</v>
      </c>
    </row>
    <row r="14" spans="1:6">
      <c r="A14" s="100">
        <v>13</v>
      </c>
      <c r="B14" s="100">
        <v>3</v>
      </c>
      <c r="C14" s="100">
        <v>1</v>
      </c>
      <c r="D14" s="100">
        <v>1</v>
      </c>
      <c r="E14" s="100" t="str">
        <f t="shared" si="0"/>
        <v>311</v>
      </c>
      <c r="F14" s="100">
        <v>3</v>
      </c>
    </row>
    <row r="15" spans="1:6">
      <c r="A15" s="100">
        <v>14</v>
      </c>
      <c r="B15" s="100">
        <v>3</v>
      </c>
      <c r="C15" s="100">
        <v>1</v>
      </c>
      <c r="D15" s="100">
        <v>2</v>
      </c>
      <c r="E15" s="100" t="str">
        <f t="shared" si="0"/>
        <v>312</v>
      </c>
      <c r="F15" s="100">
        <v>3</v>
      </c>
    </row>
    <row r="16" spans="1:6">
      <c r="A16" s="100">
        <v>15</v>
      </c>
      <c r="B16" s="100">
        <v>3</v>
      </c>
      <c r="C16" s="100">
        <v>1</v>
      </c>
      <c r="D16" s="100">
        <v>3</v>
      </c>
      <c r="E16" s="100" t="str">
        <f t="shared" si="0"/>
        <v>313</v>
      </c>
      <c r="F16" s="100">
        <v>4</v>
      </c>
    </row>
    <row r="17" spans="1:6">
      <c r="A17" s="100">
        <v>16</v>
      </c>
      <c r="B17" s="100">
        <v>3</v>
      </c>
      <c r="C17" s="100">
        <v>2</v>
      </c>
      <c r="D17" s="100">
        <v>1</v>
      </c>
      <c r="E17" s="100" t="str">
        <f t="shared" si="0"/>
        <v>321</v>
      </c>
      <c r="F17" s="100">
        <v>3</v>
      </c>
    </row>
    <row r="18" spans="1:6">
      <c r="A18" s="100">
        <v>17</v>
      </c>
      <c r="B18" s="100">
        <v>3</v>
      </c>
      <c r="C18" s="100">
        <v>2</v>
      </c>
      <c r="D18" s="100">
        <v>2</v>
      </c>
      <c r="E18" s="100" t="str">
        <f t="shared" si="0"/>
        <v>322</v>
      </c>
      <c r="F18" s="100">
        <v>4</v>
      </c>
    </row>
    <row r="19" spans="1:6">
      <c r="A19" s="100">
        <v>18</v>
      </c>
      <c r="B19" s="100">
        <v>3</v>
      </c>
      <c r="C19" s="100">
        <v>2</v>
      </c>
      <c r="D19" s="100">
        <v>3</v>
      </c>
      <c r="E19" s="100" t="str">
        <f t="shared" si="0"/>
        <v>323</v>
      </c>
      <c r="F19" s="100">
        <v>4</v>
      </c>
    </row>
    <row r="21" spans="1:6">
      <c r="A21" s="99" t="s">
        <v>378</v>
      </c>
      <c r="B21" s="99" t="s">
        <v>29</v>
      </c>
      <c r="C21" s="99" t="s">
        <v>31</v>
      </c>
      <c r="D21" s="99" t="s">
        <v>330</v>
      </c>
      <c r="E21" s="99" t="s">
        <v>361</v>
      </c>
      <c r="F21" s="99" t="s">
        <v>352</v>
      </c>
    </row>
    <row r="22" spans="1:6">
      <c r="A22" s="100">
        <v>1</v>
      </c>
      <c r="B22" s="100">
        <v>1</v>
      </c>
      <c r="C22" s="100">
        <v>1</v>
      </c>
      <c r="D22" s="100">
        <v>1</v>
      </c>
      <c r="E22" s="100" t="str">
        <f t="shared" ref="E22:E48" si="1">CONCATENATE(B22,C22,D22)</f>
        <v>111</v>
      </c>
      <c r="F22" s="100">
        <v>1</v>
      </c>
    </row>
    <row r="23" spans="1:6">
      <c r="A23" s="100">
        <v>2</v>
      </c>
      <c r="B23" s="100">
        <v>1</v>
      </c>
      <c r="C23" s="100">
        <v>1</v>
      </c>
      <c r="D23" s="100">
        <v>2</v>
      </c>
      <c r="E23" s="100" t="str">
        <f t="shared" si="1"/>
        <v>112</v>
      </c>
      <c r="F23" s="100">
        <v>1</v>
      </c>
    </row>
    <row r="24" spans="1:6">
      <c r="A24" s="100">
        <v>3</v>
      </c>
      <c r="B24" s="100">
        <v>1</v>
      </c>
      <c r="C24" s="100">
        <v>1</v>
      </c>
      <c r="D24" s="100">
        <v>3</v>
      </c>
      <c r="E24" s="100" t="str">
        <f t="shared" si="1"/>
        <v>113</v>
      </c>
      <c r="F24" s="100">
        <v>2</v>
      </c>
    </row>
    <row r="25" spans="1:6">
      <c r="A25" s="100">
        <v>4</v>
      </c>
      <c r="B25" s="100">
        <v>1</v>
      </c>
      <c r="C25" s="100">
        <v>2</v>
      </c>
      <c r="D25" s="100">
        <v>1</v>
      </c>
      <c r="E25" s="100" t="str">
        <f t="shared" si="1"/>
        <v>121</v>
      </c>
      <c r="F25" s="100">
        <v>1</v>
      </c>
    </row>
    <row r="26" spans="1:6">
      <c r="A26" s="100">
        <v>5</v>
      </c>
      <c r="B26" s="100">
        <v>1</v>
      </c>
      <c r="C26" s="100">
        <v>2</v>
      </c>
      <c r="D26" s="100">
        <v>2</v>
      </c>
      <c r="E26" s="100" t="str">
        <f t="shared" si="1"/>
        <v>122</v>
      </c>
      <c r="F26" s="100">
        <v>2</v>
      </c>
    </row>
    <row r="27" spans="1:6">
      <c r="A27" s="100">
        <v>6</v>
      </c>
      <c r="B27" s="100">
        <v>1</v>
      </c>
      <c r="C27" s="100">
        <v>2</v>
      </c>
      <c r="D27" s="100">
        <v>3</v>
      </c>
      <c r="E27" s="100" t="str">
        <f t="shared" si="1"/>
        <v>123</v>
      </c>
      <c r="F27" s="100">
        <v>3</v>
      </c>
    </row>
    <row r="28" spans="1:6">
      <c r="A28" s="100">
        <v>7</v>
      </c>
      <c r="B28" s="100">
        <v>1</v>
      </c>
      <c r="C28" s="100">
        <v>3</v>
      </c>
      <c r="D28" s="100">
        <v>1</v>
      </c>
      <c r="E28" s="100" t="str">
        <f t="shared" si="1"/>
        <v>131</v>
      </c>
      <c r="F28" s="100">
        <v>2</v>
      </c>
    </row>
    <row r="29" spans="1:6">
      <c r="A29" s="100">
        <v>8</v>
      </c>
      <c r="B29" s="100">
        <v>1</v>
      </c>
      <c r="C29" s="100">
        <v>3</v>
      </c>
      <c r="D29" s="100">
        <v>2</v>
      </c>
      <c r="E29" s="100" t="str">
        <f t="shared" si="1"/>
        <v>132</v>
      </c>
      <c r="F29" s="100">
        <v>3</v>
      </c>
    </row>
    <row r="30" spans="1:6">
      <c r="A30" s="100">
        <v>9</v>
      </c>
      <c r="B30" s="100">
        <v>1</v>
      </c>
      <c r="C30" s="100">
        <v>3</v>
      </c>
      <c r="D30" s="100">
        <v>3</v>
      </c>
      <c r="E30" s="100" t="str">
        <f t="shared" si="1"/>
        <v>133</v>
      </c>
      <c r="F30" s="100">
        <v>3</v>
      </c>
    </row>
    <row r="31" spans="1:6">
      <c r="A31" s="100">
        <v>10</v>
      </c>
      <c r="B31" s="100">
        <v>2</v>
      </c>
      <c r="C31" s="100">
        <v>1</v>
      </c>
      <c r="D31" s="100">
        <v>1</v>
      </c>
      <c r="E31" s="100" t="str">
        <f t="shared" si="1"/>
        <v>211</v>
      </c>
      <c r="F31" s="100">
        <v>1</v>
      </c>
    </row>
    <row r="32" spans="1:6">
      <c r="A32" s="100">
        <v>11</v>
      </c>
      <c r="B32" s="100">
        <v>2</v>
      </c>
      <c r="C32" s="100">
        <v>1</v>
      </c>
      <c r="D32" s="100">
        <v>2</v>
      </c>
      <c r="E32" s="100" t="str">
        <f t="shared" si="1"/>
        <v>212</v>
      </c>
      <c r="F32" s="100">
        <v>2</v>
      </c>
    </row>
    <row r="33" spans="1:6">
      <c r="A33" s="100">
        <v>12</v>
      </c>
      <c r="B33" s="100">
        <v>2</v>
      </c>
      <c r="C33" s="100">
        <v>1</v>
      </c>
      <c r="D33" s="100">
        <v>3</v>
      </c>
      <c r="E33" s="100" t="str">
        <f t="shared" si="1"/>
        <v>213</v>
      </c>
      <c r="F33" s="100">
        <v>3</v>
      </c>
    </row>
    <row r="34" spans="1:6">
      <c r="A34" s="100">
        <v>13</v>
      </c>
      <c r="B34" s="100">
        <v>2</v>
      </c>
      <c r="C34" s="100">
        <v>2</v>
      </c>
      <c r="D34" s="100">
        <v>1</v>
      </c>
      <c r="E34" s="100" t="str">
        <f t="shared" si="1"/>
        <v>221</v>
      </c>
      <c r="F34" s="100">
        <v>2</v>
      </c>
    </row>
    <row r="35" spans="1:6">
      <c r="A35" s="100">
        <v>14</v>
      </c>
      <c r="B35" s="100">
        <v>2</v>
      </c>
      <c r="C35" s="100">
        <v>2</v>
      </c>
      <c r="D35" s="100">
        <v>2</v>
      </c>
      <c r="E35" s="100" t="str">
        <f t="shared" si="1"/>
        <v>222</v>
      </c>
      <c r="F35" s="100">
        <v>3</v>
      </c>
    </row>
    <row r="36" spans="1:6">
      <c r="A36" s="100">
        <v>15</v>
      </c>
      <c r="B36" s="100">
        <v>2</v>
      </c>
      <c r="C36" s="100">
        <v>2</v>
      </c>
      <c r="D36" s="100">
        <v>3</v>
      </c>
      <c r="E36" s="100" t="str">
        <f t="shared" si="1"/>
        <v>223</v>
      </c>
      <c r="F36" s="100">
        <v>3</v>
      </c>
    </row>
    <row r="37" spans="1:6">
      <c r="A37" s="100">
        <v>16</v>
      </c>
      <c r="B37" s="100">
        <v>2</v>
      </c>
      <c r="C37" s="100">
        <v>3</v>
      </c>
      <c r="D37" s="100">
        <v>1</v>
      </c>
      <c r="E37" s="100" t="str">
        <f t="shared" si="1"/>
        <v>231</v>
      </c>
      <c r="F37" s="100">
        <v>3</v>
      </c>
    </row>
    <row r="38" spans="1:6">
      <c r="A38" s="100">
        <v>17</v>
      </c>
      <c r="B38" s="100">
        <v>2</v>
      </c>
      <c r="C38" s="100">
        <v>3</v>
      </c>
      <c r="D38" s="100">
        <v>2</v>
      </c>
      <c r="E38" s="100" t="str">
        <f t="shared" si="1"/>
        <v>232</v>
      </c>
      <c r="F38" s="100">
        <v>3</v>
      </c>
    </row>
    <row r="39" spans="1:6">
      <c r="A39" s="100">
        <v>18</v>
      </c>
      <c r="B39" s="100">
        <v>2</v>
      </c>
      <c r="C39" s="100">
        <v>3</v>
      </c>
      <c r="D39" s="100">
        <v>3</v>
      </c>
      <c r="E39" s="100" t="str">
        <f t="shared" si="1"/>
        <v>233</v>
      </c>
      <c r="F39" s="100">
        <v>4</v>
      </c>
    </row>
    <row r="40" spans="1:6">
      <c r="A40" s="100">
        <v>19</v>
      </c>
      <c r="B40" s="100">
        <v>3</v>
      </c>
      <c r="C40" s="100">
        <v>1</v>
      </c>
      <c r="D40" s="100">
        <v>1</v>
      </c>
      <c r="E40" s="100" t="str">
        <f t="shared" si="1"/>
        <v>311</v>
      </c>
      <c r="F40" s="100">
        <v>2</v>
      </c>
    </row>
    <row r="41" spans="1:6">
      <c r="A41" s="100">
        <v>20</v>
      </c>
      <c r="B41" s="100">
        <v>3</v>
      </c>
      <c r="C41" s="100">
        <v>1</v>
      </c>
      <c r="D41" s="100">
        <v>2</v>
      </c>
      <c r="E41" s="100" t="str">
        <f t="shared" si="1"/>
        <v>312</v>
      </c>
      <c r="F41" s="100">
        <v>3</v>
      </c>
    </row>
    <row r="42" spans="1:6">
      <c r="A42" s="100">
        <v>21</v>
      </c>
      <c r="B42" s="100">
        <v>3</v>
      </c>
      <c r="C42" s="100">
        <v>1</v>
      </c>
      <c r="D42" s="100">
        <v>3</v>
      </c>
      <c r="E42" s="100" t="str">
        <f t="shared" si="1"/>
        <v>313</v>
      </c>
      <c r="F42" s="100">
        <v>3</v>
      </c>
    </row>
    <row r="43" spans="1:6">
      <c r="A43" s="100">
        <v>22</v>
      </c>
      <c r="B43" s="100">
        <v>3</v>
      </c>
      <c r="C43" s="100">
        <v>2</v>
      </c>
      <c r="D43" s="100">
        <v>1</v>
      </c>
      <c r="E43" s="100" t="str">
        <f t="shared" si="1"/>
        <v>321</v>
      </c>
      <c r="F43" s="100">
        <v>3</v>
      </c>
    </row>
    <row r="44" spans="1:6">
      <c r="A44" s="100">
        <v>23</v>
      </c>
      <c r="B44" s="100">
        <v>3</v>
      </c>
      <c r="C44" s="100">
        <v>2</v>
      </c>
      <c r="D44" s="100">
        <v>2</v>
      </c>
      <c r="E44" s="100" t="str">
        <f t="shared" si="1"/>
        <v>322</v>
      </c>
      <c r="F44" s="100">
        <v>3</v>
      </c>
    </row>
    <row r="45" spans="1:6">
      <c r="A45" s="100">
        <v>24</v>
      </c>
      <c r="B45" s="100">
        <v>3</v>
      </c>
      <c r="C45" s="100">
        <v>2</v>
      </c>
      <c r="D45" s="100">
        <v>3</v>
      </c>
      <c r="E45" s="100" t="str">
        <f t="shared" si="1"/>
        <v>323</v>
      </c>
      <c r="F45" s="100">
        <v>4</v>
      </c>
    </row>
    <row r="46" spans="1:6">
      <c r="A46" s="100">
        <v>25</v>
      </c>
      <c r="B46" s="100">
        <v>3</v>
      </c>
      <c r="C46" s="100">
        <v>3</v>
      </c>
      <c r="D46" s="100">
        <v>1</v>
      </c>
      <c r="E46" s="100" t="str">
        <f t="shared" si="1"/>
        <v>331</v>
      </c>
      <c r="F46" s="100">
        <v>3</v>
      </c>
    </row>
    <row r="47" spans="1:6">
      <c r="A47" s="100">
        <v>26</v>
      </c>
      <c r="B47" s="100">
        <v>3</v>
      </c>
      <c r="C47" s="100">
        <v>3</v>
      </c>
      <c r="D47" s="100">
        <v>2</v>
      </c>
      <c r="E47" s="100" t="str">
        <f t="shared" si="1"/>
        <v>332</v>
      </c>
      <c r="F47" s="100">
        <v>4</v>
      </c>
    </row>
    <row r="48" spans="1:6">
      <c r="A48" s="100">
        <v>27</v>
      </c>
      <c r="B48" s="100">
        <v>3</v>
      </c>
      <c r="C48" s="100">
        <v>3</v>
      </c>
      <c r="D48" s="100">
        <v>3</v>
      </c>
      <c r="E48" s="100" t="str">
        <f t="shared" si="1"/>
        <v>333</v>
      </c>
      <c r="F48" s="100">
        <v>4</v>
      </c>
    </row>
    <row r="50" spans="1:6">
      <c r="A50" s="99" t="s">
        <v>377</v>
      </c>
      <c r="B50" s="99" t="s">
        <v>329</v>
      </c>
      <c r="C50" s="99" t="s">
        <v>376</v>
      </c>
      <c r="D50" s="99" t="s">
        <v>351</v>
      </c>
      <c r="E50" s="99" t="s">
        <v>361</v>
      </c>
      <c r="F50" s="99" t="s">
        <v>375</v>
      </c>
    </row>
    <row r="51" spans="1:6">
      <c r="A51" s="100">
        <v>1</v>
      </c>
      <c r="B51" s="100">
        <v>1</v>
      </c>
      <c r="C51" s="100">
        <v>1</v>
      </c>
      <c r="D51" s="100">
        <v>1</v>
      </c>
      <c r="E51" s="100" t="str">
        <f t="shared" ref="E51:E82" si="2">CONCATENATE(B51,C51,D51)</f>
        <v>111</v>
      </c>
      <c r="F51" s="100">
        <v>1</v>
      </c>
    </row>
    <row r="52" spans="1:6">
      <c r="A52" s="100">
        <v>2</v>
      </c>
      <c r="B52" s="100">
        <v>1</v>
      </c>
      <c r="C52" s="100">
        <v>1</v>
      </c>
      <c r="D52" s="100">
        <v>2</v>
      </c>
      <c r="E52" s="100" t="str">
        <f t="shared" si="2"/>
        <v>112</v>
      </c>
      <c r="F52" s="100">
        <v>1</v>
      </c>
    </row>
    <row r="53" spans="1:6">
      <c r="A53" s="100">
        <v>3</v>
      </c>
      <c r="B53" s="100">
        <v>1</v>
      </c>
      <c r="C53" s="100">
        <v>1</v>
      </c>
      <c r="D53" s="100">
        <v>3</v>
      </c>
      <c r="E53" s="100" t="str">
        <f t="shared" si="2"/>
        <v>113</v>
      </c>
      <c r="F53" s="100">
        <v>2</v>
      </c>
    </row>
    <row r="54" spans="1:6">
      <c r="A54" s="100">
        <v>4</v>
      </c>
      <c r="B54" s="100">
        <v>1</v>
      </c>
      <c r="C54" s="100">
        <v>1</v>
      </c>
      <c r="D54" s="100">
        <v>4</v>
      </c>
      <c r="E54" s="100" t="str">
        <f t="shared" si="2"/>
        <v>114</v>
      </c>
      <c r="F54" s="100">
        <v>2</v>
      </c>
    </row>
    <row r="55" spans="1:6">
      <c r="A55" s="100">
        <v>5</v>
      </c>
      <c r="B55" s="100">
        <v>1</v>
      </c>
      <c r="C55" s="100">
        <v>2</v>
      </c>
      <c r="D55" s="100">
        <v>1</v>
      </c>
      <c r="E55" s="100" t="str">
        <f t="shared" si="2"/>
        <v>121</v>
      </c>
      <c r="F55" s="100">
        <v>1</v>
      </c>
    </row>
    <row r="56" spans="1:6">
      <c r="A56" s="100">
        <v>6</v>
      </c>
      <c r="B56" s="100">
        <v>1</v>
      </c>
      <c r="C56" s="100">
        <v>2</v>
      </c>
      <c r="D56" s="100">
        <v>2</v>
      </c>
      <c r="E56" s="100" t="str">
        <f t="shared" si="2"/>
        <v>122</v>
      </c>
      <c r="F56" s="100">
        <v>1</v>
      </c>
    </row>
    <row r="57" spans="1:6">
      <c r="A57" s="100">
        <v>7</v>
      </c>
      <c r="B57" s="100">
        <v>1</v>
      </c>
      <c r="C57" s="100">
        <v>2</v>
      </c>
      <c r="D57" s="100">
        <v>3</v>
      </c>
      <c r="E57" s="100" t="str">
        <f t="shared" si="2"/>
        <v>123</v>
      </c>
      <c r="F57" s="100">
        <v>2</v>
      </c>
    </row>
    <row r="58" spans="1:6">
      <c r="A58" s="100">
        <v>8</v>
      </c>
      <c r="B58" s="100">
        <v>1</v>
      </c>
      <c r="C58" s="100">
        <v>2</v>
      </c>
      <c r="D58" s="100">
        <v>4</v>
      </c>
      <c r="E58" s="100" t="str">
        <f t="shared" si="2"/>
        <v>124</v>
      </c>
      <c r="F58" s="100">
        <v>3</v>
      </c>
    </row>
    <row r="59" spans="1:6">
      <c r="A59" s="100">
        <v>9</v>
      </c>
      <c r="B59" s="100">
        <v>1</v>
      </c>
      <c r="C59" s="100">
        <v>3</v>
      </c>
      <c r="D59" s="100">
        <v>1</v>
      </c>
      <c r="E59" s="100" t="str">
        <f t="shared" si="2"/>
        <v>131</v>
      </c>
      <c r="F59" s="100">
        <v>2</v>
      </c>
    </row>
    <row r="60" spans="1:6">
      <c r="A60" s="100">
        <v>10</v>
      </c>
      <c r="B60" s="100">
        <v>1</v>
      </c>
      <c r="C60" s="100">
        <v>3</v>
      </c>
      <c r="D60" s="100">
        <v>2</v>
      </c>
      <c r="E60" s="100" t="str">
        <f t="shared" si="2"/>
        <v>132</v>
      </c>
      <c r="F60" s="100">
        <v>2</v>
      </c>
    </row>
    <row r="61" spans="1:6">
      <c r="A61" s="100">
        <v>11</v>
      </c>
      <c r="B61" s="100">
        <v>1</v>
      </c>
      <c r="C61" s="100">
        <v>3</v>
      </c>
      <c r="D61" s="100">
        <v>3</v>
      </c>
      <c r="E61" s="100" t="str">
        <f t="shared" si="2"/>
        <v>133</v>
      </c>
      <c r="F61" s="100">
        <v>3</v>
      </c>
    </row>
    <row r="62" spans="1:6">
      <c r="A62" s="100">
        <v>12</v>
      </c>
      <c r="B62" s="100">
        <v>1</v>
      </c>
      <c r="C62" s="100">
        <v>3</v>
      </c>
      <c r="D62" s="100">
        <v>4</v>
      </c>
      <c r="E62" s="100" t="str">
        <f t="shared" si="2"/>
        <v>134</v>
      </c>
      <c r="F62" s="100">
        <v>3</v>
      </c>
    </row>
    <row r="63" spans="1:6">
      <c r="A63" s="100">
        <v>13</v>
      </c>
      <c r="B63" s="100">
        <v>1</v>
      </c>
      <c r="C63" s="100">
        <v>4</v>
      </c>
      <c r="D63" s="100">
        <v>1</v>
      </c>
      <c r="E63" s="100" t="str">
        <f t="shared" si="2"/>
        <v>141</v>
      </c>
      <c r="F63" s="100">
        <v>2</v>
      </c>
    </row>
    <row r="64" spans="1:6">
      <c r="A64" s="100">
        <v>14</v>
      </c>
      <c r="B64" s="100">
        <v>1</v>
      </c>
      <c r="C64" s="100">
        <v>4</v>
      </c>
      <c r="D64" s="100">
        <v>2</v>
      </c>
      <c r="E64" s="100" t="str">
        <f t="shared" si="2"/>
        <v>142</v>
      </c>
      <c r="F64" s="100">
        <v>2</v>
      </c>
    </row>
    <row r="65" spans="1:6">
      <c r="A65" s="100">
        <v>15</v>
      </c>
      <c r="B65" s="100">
        <v>1</v>
      </c>
      <c r="C65" s="100">
        <v>4</v>
      </c>
      <c r="D65" s="100">
        <v>3</v>
      </c>
      <c r="E65" s="100" t="str">
        <f t="shared" si="2"/>
        <v>143</v>
      </c>
      <c r="F65" s="100">
        <v>3</v>
      </c>
    </row>
    <row r="66" spans="1:6">
      <c r="A66" s="100">
        <v>16</v>
      </c>
      <c r="B66" s="100">
        <v>1</v>
      </c>
      <c r="C66" s="100">
        <v>4</v>
      </c>
      <c r="D66" s="100">
        <v>4</v>
      </c>
      <c r="E66" s="100" t="str">
        <f t="shared" si="2"/>
        <v>144</v>
      </c>
      <c r="F66" s="100">
        <v>4</v>
      </c>
    </row>
    <row r="67" spans="1:6">
      <c r="A67" s="100">
        <v>17</v>
      </c>
      <c r="B67" s="100">
        <v>2</v>
      </c>
      <c r="C67" s="100">
        <v>1</v>
      </c>
      <c r="D67" s="100">
        <v>1</v>
      </c>
      <c r="E67" s="100" t="str">
        <f t="shared" si="2"/>
        <v>211</v>
      </c>
      <c r="F67" s="100">
        <v>1</v>
      </c>
    </row>
    <row r="68" spans="1:6">
      <c r="A68" s="100">
        <v>18</v>
      </c>
      <c r="B68" s="100">
        <v>2</v>
      </c>
      <c r="C68" s="100">
        <v>1</v>
      </c>
      <c r="D68" s="100">
        <v>2</v>
      </c>
      <c r="E68" s="100" t="str">
        <f t="shared" si="2"/>
        <v>212</v>
      </c>
      <c r="F68" s="100">
        <v>1</v>
      </c>
    </row>
    <row r="69" spans="1:6">
      <c r="A69" s="100">
        <v>19</v>
      </c>
      <c r="B69" s="100">
        <v>2</v>
      </c>
      <c r="C69" s="100">
        <v>1</v>
      </c>
      <c r="D69" s="100">
        <v>3</v>
      </c>
      <c r="E69" s="100" t="str">
        <f t="shared" si="2"/>
        <v>213</v>
      </c>
      <c r="F69" s="100">
        <v>2</v>
      </c>
    </row>
    <row r="70" spans="1:6">
      <c r="A70" s="100">
        <v>20</v>
      </c>
      <c r="B70" s="100">
        <v>2</v>
      </c>
      <c r="C70" s="100">
        <v>1</v>
      </c>
      <c r="D70" s="100">
        <v>4</v>
      </c>
      <c r="E70" s="100" t="str">
        <f t="shared" si="2"/>
        <v>214</v>
      </c>
      <c r="F70" s="100">
        <v>3</v>
      </c>
    </row>
    <row r="71" spans="1:6">
      <c r="A71" s="100">
        <v>21</v>
      </c>
      <c r="B71" s="100">
        <v>2</v>
      </c>
      <c r="C71" s="100">
        <v>2</v>
      </c>
      <c r="D71" s="100">
        <v>1</v>
      </c>
      <c r="E71" s="100" t="str">
        <f t="shared" si="2"/>
        <v>221</v>
      </c>
      <c r="F71" s="100">
        <v>1</v>
      </c>
    </row>
    <row r="72" spans="1:6">
      <c r="A72" s="100">
        <v>22</v>
      </c>
      <c r="B72" s="100">
        <v>2</v>
      </c>
      <c r="C72" s="100">
        <v>2</v>
      </c>
      <c r="D72" s="100">
        <v>2</v>
      </c>
      <c r="E72" s="100" t="str">
        <f t="shared" si="2"/>
        <v>222</v>
      </c>
      <c r="F72" s="100">
        <v>2</v>
      </c>
    </row>
    <row r="73" spans="1:6">
      <c r="A73" s="100">
        <v>23</v>
      </c>
      <c r="B73" s="100">
        <v>2</v>
      </c>
      <c r="C73" s="100">
        <v>2</v>
      </c>
      <c r="D73" s="100">
        <v>3</v>
      </c>
      <c r="E73" s="100" t="str">
        <f t="shared" si="2"/>
        <v>223</v>
      </c>
      <c r="F73" s="100">
        <v>3</v>
      </c>
    </row>
    <row r="74" spans="1:6">
      <c r="A74" s="100">
        <v>24</v>
      </c>
      <c r="B74" s="100">
        <v>2</v>
      </c>
      <c r="C74" s="100">
        <v>2</v>
      </c>
      <c r="D74" s="100">
        <v>4</v>
      </c>
      <c r="E74" s="100" t="str">
        <f t="shared" si="2"/>
        <v>224</v>
      </c>
      <c r="F74" s="100">
        <v>3</v>
      </c>
    </row>
    <row r="75" spans="1:6">
      <c r="A75" s="100">
        <v>25</v>
      </c>
      <c r="B75" s="100">
        <v>2</v>
      </c>
      <c r="C75" s="100">
        <v>3</v>
      </c>
      <c r="D75" s="100">
        <v>1</v>
      </c>
      <c r="E75" s="100" t="str">
        <f t="shared" si="2"/>
        <v>231</v>
      </c>
      <c r="F75" s="100">
        <v>2</v>
      </c>
    </row>
    <row r="76" spans="1:6">
      <c r="A76" s="100">
        <v>26</v>
      </c>
      <c r="B76" s="100">
        <v>2</v>
      </c>
      <c r="C76" s="100">
        <v>3</v>
      </c>
      <c r="D76" s="100">
        <v>2</v>
      </c>
      <c r="E76" s="100" t="str">
        <f t="shared" si="2"/>
        <v>232</v>
      </c>
      <c r="F76" s="100">
        <v>3</v>
      </c>
    </row>
    <row r="77" spans="1:6">
      <c r="A77" s="100">
        <v>27</v>
      </c>
      <c r="B77" s="100">
        <v>2</v>
      </c>
      <c r="C77" s="100">
        <v>3</v>
      </c>
      <c r="D77" s="100">
        <v>3</v>
      </c>
      <c r="E77" s="100" t="str">
        <f t="shared" si="2"/>
        <v>233</v>
      </c>
      <c r="F77" s="100">
        <v>4</v>
      </c>
    </row>
    <row r="78" spans="1:6">
      <c r="A78" s="100">
        <v>28</v>
      </c>
      <c r="B78" s="100">
        <v>2</v>
      </c>
      <c r="C78" s="100">
        <v>3</v>
      </c>
      <c r="D78" s="100">
        <v>4</v>
      </c>
      <c r="E78" s="100" t="str">
        <f t="shared" si="2"/>
        <v>234</v>
      </c>
      <c r="F78" s="100">
        <v>4</v>
      </c>
    </row>
    <row r="79" spans="1:6">
      <c r="A79" s="100">
        <v>29</v>
      </c>
      <c r="B79" s="100">
        <v>2</v>
      </c>
      <c r="C79" s="100">
        <v>4</v>
      </c>
      <c r="D79" s="100">
        <v>1</v>
      </c>
      <c r="E79" s="100" t="str">
        <f t="shared" si="2"/>
        <v>241</v>
      </c>
      <c r="F79" s="100">
        <v>3</v>
      </c>
    </row>
    <row r="80" spans="1:6">
      <c r="A80" s="100">
        <v>30</v>
      </c>
      <c r="B80" s="100">
        <v>2</v>
      </c>
      <c r="C80" s="100">
        <v>4</v>
      </c>
      <c r="D80" s="100">
        <v>2</v>
      </c>
      <c r="E80" s="100" t="str">
        <f t="shared" si="2"/>
        <v>242</v>
      </c>
      <c r="F80" s="100">
        <v>3</v>
      </c>
    </row>
    <row r="81" spans="1:6">
      <c r="A81" s="100">
        <v>31</v>
      </c>
      <c r="B81" s="100">
        <v>2</v>
      </c>
      <c r="C81" s="100">
        <v>4</v>
      </c>
      <c r="D81" s="100">
        <v>3</v>
      </c>
      <c r="E81" s="100" t="str">
        <f t="shared" si="2"/>
        <v>243</v>
      </c>
      <c r="F81" s="100">
        <v>4</v>
      </c>
    </row>
    <row r="82" spans="1:6">
      <c r="A82" s="100">
        <v>32</v>
      </c>
      <c r="B82" s="100">
        <v>2</v>
      </c>
      <c r="C82" s="100">
        <v>4</v>
      </c>
      <c r="D82" s="100">
        <v>4</v>
      </c>
      <c r="E82" s="100" t="str">
        <f t="shared" si="2"/>
        <v>244</v>
      </c>
      <c r="F82" s="100">
        <v>4</v>
      </c>
    </row>
    <row r="84" spans="1:6">
      <c r="A84" s="99" t="s">
        <v>374</v>
      </c>
      <c r="B84" s="99" t="s">
        <v>322</v>
      </c>
      <c r="C84" s="99" t="s">
        <v>308</v>
      </c>
      <c r="D84" s="99" t="s">
        <v>373</v>
      </c>
      <c r="E84" s="99" t="s">
        <v>361</v>
      </c>
      <c r="F84" s="99" t="s">
        <v>362</v>
      </c>
    </row>
    <row r="85" spans="1:6">
      <c r="A85" s="100">
        <v>1</v>
      </c>
      <c r="B85" s="100">
        <v>1</v>
      </c>
      <c r="C85" s="100">
        <v>1</v>
      </c>
      <c r="D85" s="100">
        <v>1</v>
      </c>
      <c r="E85" s="100" t="str">
        <f t="shared" ref="E85:E120" si="3">CONCATENATE(B85,C85,D85)</f>
        <v>111</v>
      </c>
      <c r="F85" s="100">
        <v>1</v>
      </c>
    </row>
    <row r="86" spans="1:6">
      <c r="A86" s="100">
        <v>2</v>
      </c>
      <c r="B86" s="100">
        <v>1</v>
      </c>
      <c r="C86" s="100">
        <v>1</v>
      </c>
      <c r="D86" s="100">
        <v>2</v>
      </c>
      <c r="E86" s="100" t="str">
        <f t="shared" si="3"/>
        <v>112</v>
      </c>
      <c r="F86" s="100">
        <v>1</v>
      </c>
    </row>
    <row r="87" spans="1:6">
      <c r="A87" s="100">
        <v>3</v>
      </c>
      <c r="B87" s="100">
        <v>1</v>
      </c>
      <c r="C87" s="100">
        <v>1</v>
      </c>
      <c r="D87" s="100">
        <v>3</v>
      </c>
      <c r="E87" s="100" t="str">
        <f t="shared" si="3"/>
        <v>113</v>
      </c>
      <c r="F87" s="100">
        <v>2</v>
      </c>
    </row>
    <row r="88" spans="1:6">
      <c r="A88" s="100">
        <v>4</v>
      </c>
      <c r="B88" s="100">
        <v>1</v>
      </c>
      <c r="C88" s="100">
        <v>1</v>
      </c>
      <c r="D88" s="100">
        <v>4</v>
      </c>
      <c r="E88" s="100" t="str">
        <f t="shared" si="3"/>
        <v>114</v>
      </c>
      <c r="F88" s="100">
        <v>3</v>
      </c>
    </row>
    <row r="89" spans="1:6">
      <c r="A89" s="100">
        <v>5</v>
      </c>
      <c r="B89" s="100">
        <v>1</v>
      </c>
      <c r="C89" s="100">
        <v>2</v>
      </c>
      <c r="D89" s="100">
        <v>1</v>
      </c>
      <c r="E89" s="100" t="str">
        <f t="shared" si="3"/>
        <v>121</v>
      </c>
      <c r="F89" s="100">
        <v>1</v>
      </c>
    </row>
    <row r="90" spans="1:6">
      <c r="A90" s="100">
        <v>6</v>
      </c>
      <c r="B90" s="100">
        <v>1</v>
      </c>
      <c r="C90" s="100">
        <v>2</v>
      </c>
      <c r="D90" s="100">
        <v>2</v>
      </c>
      <c r="E90" s="100" t="str">
        <f t="shared" si="3"/>
        <v>122</v>
      </c>
      <c r="F90" s="100">
        <v>2</v>
      </c>
    </row>
    <row r="91" spans="1:6">
      <c r="A91" s="100">
        <v>7</v>
      </c>
      <c r="B91" s="100">
        <v>1</v>
      </c>
      <c r="C91" s="100">
        <v>2</v>
      </c>
      <c r="D91" s="100">
        <v>3</v>
      </c>
      <c r="E91" s="100" t="str">
        <f t="shared" si="3"/>
        <v>123</v>
      </c>
      <c r="F91" s="100">
        <v>3</v>
      </c>
    </row>
    <row r="92" spans="1:6">
      <c r="A92" s="100">
        <v>8</v>
      </c>
      <c r="B92" s="100">
        <v>1</v>
      </c>
      <c r="C92" s="100">
        <v>2</v>
      </c>
      <c r="D92" s="100">
        <v>4</v>
      </c>
      <c r="E92" s="100" t="str">
        <f t="shared" si="3"/>
        <v>124</v>
      </c>
      <c r="F92" s="100">
        <v>3</v>
      </c>
    </row>
    <row r="93" spans="1:6">
      <c r="A93" s="100">
        <v>9</v>
      </c>
      <c r="B93" s="100">
        <v>1</v>
      </c>
      <c r="C93" s="100">
        <v>3</v>
      </c>
      <c r="D93" s="100">
        <v>1</v>
      </c>
      <c r="E93" s="100" t="str">
        <f t="shared" si="3"/>
        <v>131</v>
      </c>
      <c r="F93" s="100">
        <v>1</v>
      </c>
    </row>
    <row r="94" spans="1:6">
      <c r="A94" s="100">
        <v>10</v>
      </c>
      <c r="B94" s="100">
        <v>1</v>
      </c>
      <c r="C94" s="100">
        <v>3</v>
      </c>
      <c r="D94" s="100">
        <v>2</v>
      </c>
      <c r="E94" s="100" t="str">
        <f t="shared" si="3"/>
        <v>132</v>
      </c>
      <c r="F94" s="100">
        <v>2</v>
      </c>
    </row>
    <row r="95" spans="1:6">
      <c r="A95" s="100">
        <v>11</v>
      </c>
      <c r="B95" s="100">
        <v>1</v>
      </c>
      <c r="C95" s="100">
        <v>3</v>
      </c>
      <c r="D95" s="100">
        <v>3</v>
      </c>
      <c r="E95" s="100" t="str">
        <f t="shared" si="3"/>
        <v>133</v>
      </c>
      <c r="F95" s="100">
        <v>3</v>
      </c>
    </row>
    <row r="96" spans="1:6">
      <c r="A96" s="100">
        <v>12</v>
      </c>
      <c r="B96" s="100">
        <v>1</v>
      </c>
      <c r="C96" s="100">
        <v>3</v>
      </c>
      <c r="D96" s="100">
        <v>4</v>
      </c>
      <c r="E96" s="100" t="str">
        <f t="shared" si="3"/>
        <v>134</v>
      </c>
      <c r="F96" s="100">
        <v>4</v>
      </c>
    </row>
    <row r="97" spans="1:6">
      <c r="A97" s="100">
        <v>13</v>
      </c>
      <c r="B97" s="100">
        <v>2</v>
      </c>
      <c r="C97" s="100">
        <v>1</v>
      </c>
      <c r="D97" s="100">
        <v>1</v>
      </c>
      <c r="E97" s="100" t="str">
        <f t="shared" si="3"/>
        <v>211</v>
      </c>
      <c r="F97" s="100">
        <v>1</v>
      </c>
    </row>
    <row r="98" spans="1:6">
      <c r="A98" s="100">
        <v>14</v>
      </c>
      <c r="B98" s="100">
        <v>2</v>
      </c>
      <c r="C98" s="100">
        <v>1</v>
      </c>
      <c r="D98" s="100">
        <v>2</v>
      </c>
      <c r="E98" s="100" t="str">
        <f t="shared" si="3"/>
        <v>212</v>
      </c>
      <c r="F98" s="100">
        <v>2</v>
      </c>
    </row>
    <row r="99" spans="1:6">
      <c r="A99" s="100">
        <v>15</v>
      </c>
      <c r="B99" s="100">
        <v>2</v>
      </c>
      <c r="C99" s="100">
        <v>1</v>
      </c>
      <c r="D99" s="100">
        <v>3</v>
      </c>
      <c r="E99" s="100" t="str">
        <f t="shared" si="3"/>
        <v>213</v>
      </c>
      <c r="F99" s="100">
        <v>3</v>
      </c>
    </row>
    <row r="100" spans="1:6">
      <c r="A100" s="100">
        <v>16</v>
      </c>
      <c r="B100" s="100">
        <v>2</v>
      </c>
      <c r="C100" s="100">
        <v>1</v>
      </c>
      <c r="D100" s="100">
        <v>4</v>
      </c>
      <c r="E100" s="100" t="str">
        <f t="shared" si="3"/>
        <v>214</v>
      </c>
      <c r="F100" s="100">
        <v>3</v>
      </c>
    </row>
    <row r="101" spans="1:6">
      <c r="A101" s="100">
        <v>17</v>
      </c>
      <c r="B101" s="100">
        <v>2</v>
      </c>
      <c r="C101" s="100">
        <v>2</v>
      </c>
      <c r="D101" s="100">
        <v>1</v>
      </c>
      <c r="E101" s="100" t="str">
        <f t="shared" si="3"/>
        <v>221</v>
      </c>
      <c r="F101" s="100">
        <v>1</v>
      </c>
    </row>
    <row r="102" spans="1:6">
      <c r="A102" s="100">
        <v>18</v>
      </c>
      <c r="B102" s="100">
        <v>2</v>
      </c>
      <c r="C102" s="100">
        <v>2</v>
      </c>
      <c r="D102" s="100">
        <v>2</v>
      </c>
      <c r="E102" s="100" t="str">
        <f t="shared" si="3"/>
        <v>222</v>
      </c>
      <c r="F102" s="100">
        <v>2</v>
      </c>
    </row>
    <row r="103" spans="1:6">
      <c r="A103" s="100">
        <v>19</v>
      </c>
      <c r="B103" s="100">
        <v>2</v>
      </c>
      <c r="C103" s="100">
        <v>2</v>
      </c>
      <c r="D103" s="100">
        <v>3</v>
      </c>
      <c r="E103" s="100" t="str">
        <f t="shared" si="3"/>
        <v>223</v>
      </c>
      <c r="F103" s="100">
        <v>3</v>
      </c>
    </row>
    <row r="104" spans="1:6">
      <c r="A104" s="100">
        <v>20</v>
      </c>
      <c r="B104" s="100">
        <v>2</v>
      </c>
      <c r="C104" s="100">
        <v>2</v>
      </c>
      <c r="D104" s="100">
        <v>4</v>
      </c>
      <c r="E104" s="100" t="str">
        <f t="shared" si="3"/>
        <v>224</v>
      </c>
      <c r="F104" s="100">
        <v>4</v>
      </c>
    </row>
    <row r="105" spans="1:6">
      <c r="A105" s="100">
        <v>21</v>
      </c>
      <c r="B105" s="100">
        <v>2</v>
      </c>
      <c r="C105" s="100">
        <v>3</v>
      </c>
      <c r="D105" s="100">
        <v>1</v>
      </c>
      <c r="E105" s="100" t="str">
        <f t="shared" si="3"/>
        <v>231</v>
      </c>
      <c r="F105" s="100">
        <v>2</v>
      </c>
    </row>
    <row r="106" spans="1:6">
      <c r="A106" s="100">
        <v>22</v>
      </c>
      <c r="B106" s="100">
        <v>2</v>
      </c>
      <c r="C106" s="100">
        <v>3</v>
      </c>
      <c r="D106" s="100">
        <v>2</v>
      </c>
      <c r="E106" s="100" t="str">
        <f t="shared" si="3"/>
        <v>232</v>
      </c>
      <c r="F106" s="100">
        <v>3</v>
      </c>
    </row>
    <row r="107" spans="1:6">
      <c r="A107" s="100">
        <v>23</v>
      </c>
      <c r="B107" s="100">
        <v>2</v>
      </c>
      <c r="C107" s="100">
        <v>3</v>
      </c>
      <c r="D107" s="100">
        <v>3</v>
      </c>
      <c r="E107" s="100" t="str">
        <f t="shared" si="3"/>
        <v>233</v>
      </c>
      <c r="F107" s="100">
        <v>3</v>
      </c>
    </row>
    <row r="108" spans="1:6">
      <c r="A108" s="100">
        <v>24</v>
      </c>
      <c r="B108" s="100">
        <v>2</v>
      </c>
      <c r="C108" s="100">
        <v>3</v>
      </c>
      <c r="D108" s="100">
        <v>4</v>
      </c>
      <c r="E108" s="100" t="str">
        <f t="shared" si="3"/>
        <v>234</v>
      </c>
      <c r="F108" s="100">
        <v>4</v>
      </c>
    </row>
    <row r="109" spans="1:6">
      <c r="A109" s="100">
        <v>25</v>
      </c>
      <c r="B109" s="100">
        <v>3</v>
      </c>
      <c r="C109" s="100">
        <v>1</v>
      </c>
      <c r="D109" s="100">
        <v>1</v>
      </c>
      <c r="E109" s="100" t="str">
        <f t="shared" si="3"/>
        <v>311</v>
      </c>
      <c r="F109" s="100">
        <v>1</v>
      </c>
    </row>
    <row r="110" spans="1:6">
      <c r="A110" s="100">
        <v>26</v>
      </c>
      <c r="B110" s="100">
        <v>3</v>
      </c>
      <c r="C110" s="100">
        <v>1</v>
      </c>
      <c r="D110" s="100">
        <v>2</v>
      </c>
      <c r="E110" s="100" t="str">
        <f t="shared" si="3"/>
        <v>312</v>
      </c>
      <c r="F110" s="100">
        <v>2</v>
      </c>
    </row>
    <row r="111" spans="1:6">
      <c r="A111" s="100">
        <v>27</v>
      </c>
      <c r="B111" s="100">
        <v>3</v>
      </c>
      <c r="C111" s="100">
        <v>1</v>
      </c>
      <c r="D111" s="100">
        <v>3</v>
      </c>
      <c r="E111" s="100" t="str">
        <f t="shared" si="3"/>
        <v>313</v>
      </c>
      <c r="F111" s="100">
        <v>3</v>
      </c>
    </row>
    <row r="112" spans="1:6">
      <c r="A112" s="100">
        <v>28</v>
      </c>
      <c r="B112" s="100">
        <v>3</v>
      </c>
      <c r="C112" s="100">
        <v>1</v>
      </c>
      <c r="D112" s="100">
        <v>4</v>
      </c>
      <c r="E112" s="100" t="str">
        <f t="shared" si="3"/>
        <v>314</v>
      </c>
      <c r="F112" s="100">
        <v>4</v>
      </c>
    </row>
    <row r="113" spans="1:6">
      <c r="A113" s="100">
        <v>29</v>
      </c>
      <c r="B113" s="100">
        <v>3</v>
      </c>
      <c r="C113" s="100">
        <v>2</v>
      </c>
      <c r="D113" s="100">
        <v>1</v>
      </c>
      <c r="E113" s="100" t="str">
        <f t="shared" si="3"/>
        <v>321</v>
      </c>
      <c r="F113" s="100">
        <v>2</v>
      </c>
    </row>
    <row r="114" spans="1:6">
      <c r="A114" s="100">
        <v>30</v>
      </c>
      <c r="B114" s="100">
        <v>3</v>
      </c>
      <c r="C114" s="100">
        <v>2</v>
      </c>
      <c r="D114" s="100">
        <v>2</v>
      </c>
      <c r="E114" s="100" t="str">
        <f t="shared" si="3"/>
        <v>322</v>
      </c>
      <c r="F114" s="100">
        <v>3</v>
      </c>
    </row>
    <row r="115" spans="1:6">
      <c r="A115" s="100">
        <v>31</v>
      </c>
      <c r="B115" s="100">
        <v>3</v>
      </c>
      <c r="C115" s="100">
        <v>2</v>
      </c>
      <c r="D115" s="100">
        <v>3</v>
      </c>
      <c r="E115" s="100" t="str">
        <f t="shared" si="3"/>
        <v>323</v>
      </c>
      <c r="F115" s="100">
        <v>3</v>
      </c>
    </row>
    <row r="116" spans="1:6">
      <c r="A116" s="100">
        <v>32</v>
      </c>
      <c r="B116" s="100">
        <v>3</v>
      </c>
      <c r="C116" s="100">
        <v>2</v>
      </c>
      <c r="D116" s="100">
        <v>4</v>
      </c>
      <c r="E116" s="100" t="str">
        <f t="shared" si="3"/>
        <v>324</v>
      </c>
      <c r="F116" s="100">
        <v>4</v>
      </c>
    </row>
    <row r="117" spans="1:6">
      <c r="A117" s="100">
        <v>33</v>
      </c>
      <c r="B117" s="100">
        <v>3</v>
      </c>
      <c r="C117" s="100">
        <v>3</v>
      </c>
      <c r="D117" s="100">
        <v>1</v>
      </c>
      <c r="E117" s="100" t="str">
        <f t="shared" si="3"/>
        <v>331</v>
      </c>
      <c r="F117" s="100">
        <v>2</v>
      </c>
    </row>
    <row r="118" spans="1:6">
      <c r="A118" s="100">
        <v>34</v>
      </c>
      <c r="B118" s="100">
        <v>3</v>
      </c>
      <c r="C118" s="100">
        <v>3</v>
      </c>
      <c r="D118" s="100">
        <v>2</v>
      </c>
      <c r="E118" s="100" t="str">
        <f t="shared" si="3"/>
        <v>332</v>
      </c>
      <c r="F118" s="100">
        <v>3</v>
      </c>
    </row>
    <row r="119" spans="1:6">
      <c r="A119" s="100">
        <v>35</v>
      </c>
      <c r="B119" s="100">
        <v>3</v>
      </c>
      <c r="C119" s="100">
        <v>3</v>
      </c>
      <c r="D119" s="100">
        <v>3</v>
      </c>
      <c r="E119" s="100" t="str">
        <f t="shared" si="3"/>
        <v>333</v>
      </c>
      <c r="F119" s="100">
        <v>4</v>
      </c>
    </row>
    <row r="120" spans="1:6">
      <c r="A120" s="100">
        <v>36</v>
      </c>
      <c r="B120" s="100">
        <v>3</v>
      </c>
      <c r="C120" s="100">
        <v>3</v>
      </c>
      <c r="D120" s="100">
        <v>4</v>
      </c>
      <c r="E120" s="100" t="str">
        <f t="shared" si="3"/>
        <v>334</v>
      </c>
      <c r="F120" s="100">
        <v>4</v>
      </c>
    </row>
    <row r="122" spans="1:6">
      <c r="A122" s="99" t="s">
        <v>372</v>
      </c>
      <c r="B122" s="107" t="s">
        <v>344</v>
      </c>
      <c r="C122" s="107" t="s">
        <v>332</v>
      </c>
      <c r="D122" s="99" t="s">
        <v>361</v>
      </c>
      <c r="E122" s="99" t="s">
        <v>313</v>
      </c>
    </row>
    <row r="123" spans="1:6">
      <c r="A123" s="100">
        <v>1</v>
      </c>
      <c r="B123" s="100">
        <v>1</v>
      </c>
      <c r="C123" s="100">
        <v>1</v>
      </c>
      <c r="D123" s="100" t="str">
        <f t="shared" ref="D123:D131" si="4">CONCATENATE(B123,C123)</f>
        <v>11</v>
      </c>
      <c r="E123" s="100">
        <v>1</v>
      </c>
    </row>
    <row r="124" spans="1:6">
      <c r="A124" s="100">
        <v>2</v>
      </c>
      <c r="B124" s="100">
        <v>1</v>
      </c>
      <c r="C124" s="100">
        <v>2</v>
      </c>
      <c r="D124" s="100" t="str">
        <f t="shared" si="4"/>
        <v>12</v>
      </c>
      <c r="E124" s="100">
        <v>1</v>
      </c>
    </row>
    <row r="125" spans="1:6">
      <c r="A125" s="100">
        <v>3</v>
      </c>
      <c r="B125" s="100">
        <v>1</v>
      </c>
      <c r="C125" s="100">
        <v>3</v>
      </c>
      <c r="D125" s="100" t="str">
        <f t="shared" si="4"/>
        <v>13</v>
      </c>
      <c r="E125" s="100">
        <v>2</v>
      </c>
    </row>
    <row r="126" spans="1:6">
      <c r="A126" s="100">
        <v>4</v>
      </c>
      <c r="B126" s="100">
        <v>2</v>
      </c>
      <c r="C126" s="100">
        <v>1</v>
      </c>
      <c r="D126" s="100" t="str">
        <f t="shared" si="4"/>
        <v>21</v>
      </c>
      <c r="E126" s="100">
        <v>2</v>
      </c>
    </row>
    <row r="127" spans="1:6">
      <c r="A127" s="100">
        <v>5</v>
      </c>
      <c r="B127" s="100">
        <v>2</v>
      </c>
      <c r="C127" s="100">
        <v>2</v>
      </c>
      <c r="D127" s="100" t="str">
        <f t="shared" si="4"/>
        <v>22</v>
      </c>
      <c r="E127" s="100">
        <v>2</v>
      </c>
    </row>
    <row r="128" spans="1:6">
      <c r="A128" s="100">
        <v>6</v>
      </c>
      <c r="B128" s="100">
        <v>2</v>
      </c>
      <c r="C128" s="100">
        <v>3</v>
      </c>
      <c r="D128" s="100" t="str">
        <f t="shared" si="4"/>
        <v>23</v>
      </c>
      <c r="E128" s="100">
        <v>3</v>
      </c>
    </row>
    <row r="129" spans="1:5">
      <c r="A129" s="100">
        <v>7</v>
      </c>
      <c r="B129" s="100">
        <v>3</v>
      </c>
      <c r="C129" s="100">
        <v>1</v>
      </c>
      <c r="D129" s="100" t="str">
        <f t="shared" si="4"/>
        <v>31</v>
      </c>
      <c r="E129" s="100">
        <v>3</v>
      </c>
    </row>
    <row r="130" spans="1:5">
      <c r="A130" s="100">
        <v>8</v>
      </c>
      <c r="B130" s="100">
        <v>3</v>
      </c>
      <c r="C130" s="100">
        <v>2</v>
      </c>
      <c r="D130" s="100" t="str">
        <f t="shared" si="4"/>
        <v>32</v>
      </c>
      <c r="E130" s="100">
        <v>3</v>
      </c>
    </row>
    <row r="131" spans="1:5">
      <c r="A131" s="100">
        <v>9</v>
      </c>
      <c r="B131" s="100">
        <v>3</v>
      </c>
      <c r="C131" s="100">
        <v>3</v>
      </c>
      <c r="D131" s="100" t="str">
        <f t="shared" si="4"/>
        <v>33</v>
      </c>
      <c r="E131" s="100">
        <v>3</v>
      </c>
    </row>
    <row r="133" spans="1:5">
      <c r="A133" s="99" t="s">
        <v>371</v>
      </c>
      <c r="B133" s="107" t="s">
        <v>370</v>
      </c>
      <c r="C133" s="107" t="s">
        <v>325</v>
      </c>
      <c r="D133" s="99" t="s">
        <v>361</v>
      </c>
      <c r="E133" s="99" t="s">
        <v>314</v>
      </c>
    </row>
    <row r="134" spans="1:5">
      <c r="A134" s="100">
        <v>1</v>
      </c>
      <c r="B134" s="100">
        <v>1</v>
      </c>
      <c r="C134" s="100">
        <v>1</v>
      </c>
      <c r="D134" s="100" t="str">
        <f t="shared" ref="D134:D142" si="5">CONCATENATE(B134,C134)</f>
        <v>11</v>
      </c>
      <c r="E134" s="100">
        <v>1</v>
      </c>
    </row>
    <row r="135" spans="1:5">
      <c r="A135" s="100">
        <v>2</v>
      </c>
      <c r="B135" s="100">
        <v>1</v>
      </c>
      <c r="C135" s="100">
        <v>2</v>
      </c>
      <c r="D135" s="100" t="str">
        <f t="shared" si="5"/>
        <v>12</v>
      </c>
      <c r="E135" s="100">
        <v>1</v>
      </c>
    </row>
    <row r="136" spans="1:5">
      <c r="A136" s="100">
        <v>3</v>
      </c>
      <c r="B136" s="100">
        <v>1</v>
      </c>
      <c r="C136" s="100">
        <v>3</v>
      </c>
      <c r="D136" s="100" t="str">
        <f t="shared" si="5"/>
        <v>13</v>
      </c>
      <c r="E136" s="100">
        <v>2</v>
      </c>
    </row>
    <row r="137" spans="1:5">
      <c r="A137" s="100">
        <v>4</v>
      </c>
      <c r="B137" s="100">
        <v>2</v>
      </c>
      <c r="C137" s="100">
        <v>1</v>
      </c>
      <c r="D137" s="100" t="str">
        <f t="shared" si="5"/>
        <v>21</v>
      </c>
      <c r="E137" s="100">
        <v>1</v>
      </c>
    </row>
    <row r="138" spans="1:5">
      <c r="A138" s="100">
        <v>5</v>
      </c>
      <c r="B138" s="100">
        <v>2</v>
      </c>
      <c r="C138" s="100">
        <v>2</v>
      </c>
      <c r="D138" s="100" t="str">
        <f t="shared" si="5"/>
        <v>22</v>
      </c>
      <c r="E138" s="100">
        <v>2</v>
      </c>
    </row>
    <row r="139" spans="1:5">
      <c r="A139" s="100">
        <v>6</v>
      </c>
      <c r="B139" s="100">
        <v>2</v>
      </c>
      <c r="C139" s="100">
        <v>3</v>
      </c>
      <c r="D139" s="100" t="str">
        <f t="shared" si="5"/>
        <v>23</v>
      </c>
      <c r="E139" s="100">
        <v>3</v>
      </c>
    </row>
    <row r="140" spans="1:5">
      <c r="A140" s="100">
        <v>7</v>
      </c>
      <c r="B140" s="100">
        <v>3</v>
      </c>
      <c r="C140" s="100">
        <v>1</v>
      </c>
      <c r="D140" s="100" t="str">
        <f t="shared" si="5"/>
        <v>31</v>
      </c>
      <c r="E140" s="100">
        <v>2</v>
      </c>
    </row>
    <row r="141" spans="1:5">
      <c r="A141" s="100">
        <v>8</v>
      </c>
      <c r="B141" s="100">
        <v>3</v>
      </c>
      <c r="C141" s="100">
        <v>2</v>
      </c>
      <c r="D141" s="100" t="str">
        <f t="shared" si="5"/>
        <v>32</v>
      </c>
      <c r="E141" s="100">
        <v>3</v>
      </c>
    </row>
    <row r="142" spans="1:5">
      <c r="A142" s="100">
        <v>9</v>
      </c>
      <c r="B142" s="100">
        <v>3</v>
      </c>
      <c r="C142" s="100">
        <v>3</v>
      </c>
      <c r="D142" s="100" t="str">
        <f t="shared" si="5"/>
        <v>33</v>
      </c>
      <c r="E142" s="100">
        <v>3</v>
      </c>
    </row>
    <row r="144" spans="1:5">
      <c r="A144" s="99" t="s">
        <v>369</v>
      </c>
      <c r="B144" s="107" t="s">
        <v>346</v>
      </c>
      <c r="C144" s="107" t="s">
        <v>334</v>
      </c>
      <c r="D144" s="99" t="s">
        <v>361</v>
      </c>
      <c r="E144" s="99" t="s">
        <v>314</v>
      </c>
    </row>
    <row r="145" spans="1:5">
      <c r="A145" s="100">
        <v>1</v>
      </c>
      <c r="B145" s="100">
        <v>1</v>
      </c>
      <c r="C145" s="100">
        <v>1</v>
      </c>
      <c r="D145" s="100" t="str">
        <f t="shared" ref="D145:D153" si="6">CONCATENATE(B145,C145)</f>
        <v>11</v>
      </c>
      <c r="E145" s="100">
        <v>2</v>
      </c>
    </row>
    <row r="146" spans="1:5">
      <c r="A146" s="100">
        <v>2</v>
      </c>
      <c r="B146" s="100">
        <v>1</v>
      </c>
      <c r="C146" s="100">
        <v>2</v>
      </c>
      <c r="D146" s="100" t="str">
        <f t="shared" si="6"/>
        <v>12</v>
      </c>
      <c r="E146" s="100">
        <v>2</v>
      </c>
    </row>
    <row r="147" spans="1:5">
      <c r="A147" s="100">
        <v>3</v>
      </c>
      <c r="B147" s="100">
        <v>1</v>
      </c>
      <c r="C147" s="100">
        <v>3</v>
      </c>
      <c r="D147" s="100" t="str">
        <f t="shared" si="6"/>
        <v>13</v>
      </c>
      <c r="E147" s="100">
        <v>1</v>
      </c>
    </row>
    <row r="148" spans="1:5">
      <c r="A148" s="100">
        <v>4</v>
      </c>
      <c r="B148" s="100">
        <v>2</v>
      </c>
      <c r="C148" s="100">
        <v>1</v>
      </c>
      <c r="D148" s="100" t="str">
        <f t="shared" si="6"/>
        <v>21</v>
      </c>
      <c r="E148" s="100">
        <v>1</v>
      </c>
    </row>
    <row r="149" spans="1:5">
      <c r="A149" s="100">
        <v>5</v>
      </c>
      <c r="B149" s="100">
        <v>2</v>
      </c>
      <c r="C149" s="100">
        <v>2</v>
      </c>
      <c r="D149" s="100" t="str">
        <f t="shared" si="6"/>
        <v>22</v>
      </c>
      <c r="E149" s="100">
        <v>2</v>
      </c>
    </row>
    <row r="150" spans="1:5">
      <c r="A150" s="100">
        <v>6</v>
      </c>
      <c r="B150" s="100">
        <v>2</v>
      </c>
      <c r="C150" s="100">
        <v>3</v>
      </c>
      <c r="D150" s="100" t="str">
        <f t="shared" si="6"/>
        <v>23</v>
      </c>
      <c r="E150" s="100">
        <v>1</v>
      </c>
    </row>
    <row r="151" spans="1:5">
      <c r="A151" s="100">
        <v>7</v>
      </c>
      <c r="B151" s="100">
        <v>3</v>
      </c>
      <c r="C151" s="100">
        <v>1</v>
      </c>
      <c r="D151" s="100" t="str">
        <f t="shared" si="6"/>
        <v>31</v>
      </c>
      <c r="E151" s="100">
        <v>1</v>
      </c>
    </row>
    <row r="152" spans="1:5">
      <c r="A152" s="100">
        <v>8</v>
      </c>
      <c r="B152" s="100">
        <v>3</v>
      </c>
      <c r="C152" s="100">
        <v>2</v>
      </c>
      <c r="D152" s="100" t="str">
        <f t="shared" si="6"/>
        <v>32</v>
      </c>
      <c r="E152" s="100">
        <v>2</v>
      </c>
    </row>
    <row r="153" spans="1:5">
      <c r="A153" s="100">
        <v>9</v>
      </c>
      <c r="B153" s="100">
        <v>3</v>
      </c>
      <c r="C153" s="100">
        <v>3</v>
      </c>
      <c r="D153" s="100" t="str">
        <f t="shared" si="6"/>
        <v>33</v>
      </c>
      <c r="E153" s="100">
        <v>2</v>
      </c>
    </row>
    <row r="155" spans="1:5">
      <c r="A155" s="99" t="s">
        <v>368</v>
      </c>
      <c r="B155" s="107" t="s">
        <v>323</v>
      </c>
      <c r="C155" s="99" t="s">
        <v>26</v>
      </c>
      <c r="D155" s="99" t="s">
        <v>361</v>
      </c>
      <c r="E155" s="107" t="s">
        <v>317</v>
      </c>
    </row>
    <row r="156" spans="1:5">
      <c r="A156" s="100">
        <v>1</v>
      </c>
      <c r="B156" s="100">
        <v>1</v>
      </c>
      <c r="C156" s="100">
        <v>1</v>
      </c>
      <c r="D156" s="100" t="str">
        <f t="shared" ref="D156:D161" si="7">CONCATENATE(B156,C156)</f>
        <v>11</v>
      </c>
      <c r="E156" s="100">
        <v>3</v>
      </c>
    </row>
    <row r="157" spans="1:5">
      <c r="A157" s="100">
        <v>2</v>
      </c>
      <c r="B157" s="100">
        <v>1</v>
      </c>
      <c r="C157" s="100">
        <v>2</v>
      </c>
      <c r="D157" s="100" t="str">
        <f t="shared" si="7"/>
        <v>12</v>
      </c>
      <c r="E157" s="100">
        <v>3</v>
      </c>
    </row>
    <row r="158" spans="1:5">
      <c r="A158" s="100">
        <v>3</v>
      </c>
      <c r="B158" s="100">
        <v>2</v>
      </c>
      <c r="C158" s="100">
        <v>1</v>
      </c>
      <c r="D158" s="100" t="str">
        <f t="shared" si="7"/>
        <v>21</v>
      </c>
      <c r="E158" s="100">
        <v>3</v>
      </c>
    </row>
    <row r="159" spans="1:5">
      <c r="A159" s="100">
        <v>4</v>
      </c>
      <c r="B159" s="100">
        <v>2</v>
      </c>
      <c r="C159" s="100">
        <v>2</v>
      </c>
      <c r="D159" s="100" t="str">
        <f t="shared" si="7"/>
        <v>22</v>
      </c>
      <c r="E159" s="100">
        <v>2</v>
      </c>
    </row>
    <row r="160" spans="1:5">
      <c r="A160" s="100">
        <v>5</v>
      </c>
      <c r="B160" s="100">
        <v>3</v>
      </c>
      <c r="C160" s="100">
        <v>1</v>
      </c>
      <c r="D160" s="100" t="str">
        <f t="shared" si="7"/>
        <v>31</v>
      </c>
      <c r="E160" s="100">
        <v>3</v>
      </c>
    </row>
    <row r="161" spans="1:5">
      <c r="A161" s="100">
        <v>6</v>
      </c>
      <c r="B161" s="100">
        <v>3</v>
      </c>
      <c r="C161" s="100">
        <v>2</v>
      </c>
      <c r="D161" s="100" t="str">
        <f t="shared" si="7"/>
        <v>32</v>
      </c>
      <c r="E161" s="100">
        <v>1</v>
      </c>
    </row>
    <row r="163" spans="1:5">
      <c r="A163" s="107" t="s">
        <v>367</v>
      </c>
      <c r="B163" s="107" t="s">
        <v>317</v>
      </c>
      <c r="C163" s="107" t="s">
        <v>318</v>
      </c>
      <c r="D163" s="107" t="s">
        <v>361</v>
      </c>
      <c r="E163" s="107" t="s">
        <v>366</v>
      </c>
    </row>
    <row r="164" spans="1:5">
      <c r="A164" s="100">
        <v>1</v>
      </c>
      <c r="B164" s="100">
        <v>1</v>
      </c>
      <c r="C164" s="100">
        <v>1</v>
      </c>
      <c r="D164" s="100" t="str">
        <f t="shared" ref="D164:D175" si="8">CONCATENATE(B164,C164)</f>
        <v>11</v>
      </c>
      <c r="E164" s="100">
        <v>1</v>
      </c>
    </row>
    <row r="165" spans="1:5">
      <c r="A165" s="100">
        <v>2</v>
      </c>
      <c r="B165" s="100">
        <v>1</v>
      </c>
      <c r="C165" s="100">
        <v>2</v>
      </c>
      <c r="D165" s="100" t="str">
        <f t="shared" si="8"/>
        <v>12</v>
      </c>
      <c r="E165" s="100">
        <v>2</v>
      </c>
    </row>
    <row r="166" spans="1:5">
      <c r="A166" s="100">
        <v>3</v>
      </c>
      <c r="B166" s="100">
        <v>1</v>
      </c>
      <c r="C166" s="100">
        <v>3</v>
      </c>
      <c r="D166" s="100" t="str">
        <f t="shared" si="8"/>
        <v>13</v>
      </c>
      <c r="E166" s="100">
        <v>3</v>
      </c>
    </row>
    <row r="167" spans="1:5">
      <c r="A167" s="100">
        <v>4</v>
      </c>
      <c r="B167" s="100">
        <v>1</v>
      </c>
      <c r="C167" s="100">
        <v>4</v>
      </c>
      <c r="D167" s="100" t="str">
        <f t="shared" si="8"/>
        <v>14</v>
      </c>
      <c r="E167" s="100">
        <v>4</v>
      </c>
    </row>
    <row r="168" spans="1:5">
      <c r="A168" s="100">
        <v>5</v>
      </c>
      <c r="B168" s="100">
        <v>2</v>
      </c>
      <c r="C168" s="100">
        <v>1</v>
      </c>
      <c r="D168" s="100" t="str">
        <f t="shared" si="8"/>
        <v>21</v>
      </c>
      <c r="E168" s="100">
        <v>1</v>
      </c>
    </row>
    <row r="169" spans="1:5">
      <c r="A169" s="100">
        <v>6</v>
      </c>
      <c r="B169" s="100">
        <v>2</v>
      </c>
      <c r="C169" s="100">
        <v>2</v>
      </c>
      <c r="D169" s="100" t="str">
        <f t="shared" si="8"/>
        <v>22</v>
      </c>
      <c r="E169" s="100">
        <v>2</v>
      </c>
    </row>
    <row r="170" spans="1:5">
      <c r="A170" s="100">
        <v>7</v>
      </c>
      <c r="B170" s="100">
        <v>2</v>
      </c>
      <c r="C170" s="100">
        <v>3</v>
      </c>
      <c r="D170" s="100" t="str">
        <f t="shared" si="8"/>
        <v>23</v>
      </c>
      <c r="E170" s="100">
        <v>3</v>
      </c>
    </row>
    <row r="171" spans="1:5">
      <c r="A171" s="100">
        <v>8</v>
      </c>
      <c r="B171" s="100">
        <v>2</v>
      </c>
      <c r="C171" s="100">
        <v>4</v>
      </c>
      <c r="D171" s="100" t="str">
        <f t="shared" si="8"/>
        <v>24</v>
      </c>
      <c r="E171" s="100">
        <v>4</v>
      </c>
    </row>
    <row r="172" spans="1:5">
      <c r="A172" s="100">
        <v>9</v>
      </c>
      <c r="B172" s="100">
        <v>3</v>
      </c>
      <c r="C172" s="100">
        <v>1</v>
      </c>
      <c r="D172" s="100" t="str">
        <f t="shared" si="8"/>
        <v>31</v>
      </c>
      <c r="E172" s="100">
        <v>2</v>
      </c>
    </row>
    <row r="173" spans="1:5">
      <c r="A173" s="100">
        <v>10</v>
      </c>
      <c r="B173" s="100">
        <v>3</v>
      </c>
      <c r="C173" s="100">
        <v>2</v>
      </c>
      <c r="D173" s="100" t="str">
        <f t="shared" si="8"/>
        <v>32</v>
      </c>
      <c r="E173" s="100">
        <v>3</v>
      </c>
    </row>
    <row r="174" spans="1:5">
      <c r="A174" s="100">
        <v>11</v>
      </c>
      <c r="B174" s="100">
        <v>3</v>
      </c>
      <c r="C174" s="100">
        <v>3</v>
      </c>
      <c r="D174" s="100" t="str">
        <f t="shared" si="8"/>
        <v>33</v>
      </c>
      <c r="E174" s="100">
        <v>4</v>
      </c>
    </row>
    <row r="175" spans="1:5">
      <c r="A175" s="100">
        <v>12</v>
      </c>
      <c r="B175" s="100">
        <v>3</v>
      </c>
      <c r="C175" s="100">
        <v>4</v>
      </c>
      <c r="D175" s="100" t="str">
        <f t="shared" si="8"/>
        <v>34</v>
      </c>
      <c r="E175" s="100">
        <v>4</v>
      </c>
    </row>
    <row r="177" spans="1:6">
      <c r="A177" s="99" t="s">
        <v>365</v>
      </c>
      <c r="B177" s="99" t="s">
        <v>313</v>
      </c>
      <c r="C177" s="99" t="s">
        <v>364</v>
      </c>
      <c r="D177" s="107" t="s">
        <v>317</v>
      </c>
      <c r="E177" s="99" t="s">
        <v>361</v>
      </c>
      <c r="F177" s="99" t="s">
        <v>312</v>
      </c>
    </row>
    <row r="178" spans="1:6">
      <c r="A178" s="100">
        <v>1</v>
      </c>
      <c r="B178" s="100">
        <v>1</v>
      </c>
      <c r="C178" s="100">
        <v>1</v>
      </c>
      <c r="D178" s="100">
        <v>1</v>
      </c>
      <c r="E178" s="100" t="str">
        <f t="shared" ref="E178:E195" si="9">CONCATENATE(B178,C178,D178)</f>
        <v>111</v>
      </c>
      <c r="F178" s="100">
        <v>1</v>
      </c>
    </row>
    <row r="179" spans="1:6">
      <c r="A179" s="100">
        <v>2</v>
      </c>
      <c r="B179" s="100">
        <v>1</v>
      </c>
      <c r="C179" s="100">
        <v>1</v>
      </c>
      <c r="D179" s="100">
        <v>2</v>
      </c>
      <c r="E179" s="100" t="str">
        <f t="shared" si="9"/>
        <v>112</v>
      </c>
      <c r="F179" s="100">
        <v>1</v>
      </c>
    </row>
    <row r="180" spans="1:6">
      <c r="A180" s="100">
        <v>3</v>
      </c>
      <c r="B180" s="100">
        <v>1</v>
      </c>
      <c r="C180" s="100">
        <v>2</v>
      </c>
      <c r="D180" s="100">
        <v>1</v>
      </c>
      <c r="E180" s="100" t="str">
        <f t="shared" si="9"/>
        <v>121</v>
      </c>
      <c r="F180" s="100">
        <v>1</v>
      </c>
    </row>
    <row r="181" spans="1:6">
      <c r="A181" s="100">
        <v>4</v>
      </c>
      <c r="B181" s="100">
        <v>1</v>
      </c>
      <c r="C181" s="100">
        <v>2</v>
      </c>
      <c r="D181" s="100">
        <v>2</v>
      </c>
      <c r="E181" s="100" t="str">
        <f t="shared" si="9"/>
        <v>122</v>
      </c>
      <c r="F181" s="100">
        <v>1</v>
      </c>
    </row>
    <row r="182" spans="1:6">
      <c r="A182" s="100">
        <v>5</v>
      </c>
      <c r="B182" s="100">
        <v>1</v>
      </c>
      <c r="C182" s="100">
        <v>3</v>
      </c>
      <c r="D182" s="100">
        <v>1</v>
      </c>
      <c r="E182" s="100" t="str">
        <f t="shared" si="9"/>
        <v>131</v>
      </c>
      <c r="F182" s="100">
        <v>1</v>
      </c>
    </row>
    <row r="183" spans="1:6">
      <c r="A183" s="100">
        <v>6</v>
      </c>
      <c r="B183" s="100">
        <v>1</v>
      </c>
      <c r="C183" s="100">
        <v>3</v>
      </c>
      <c r="D183" s="100">
        <v>2</v>
      </c>
      <c r="E183" s="100" t="str">
        <f t="shared" si="9"/>
        <v>132</v>
      </c>
      <c r="F183" s="100">
        <v>2</v>
      </c>
    </row>
    <row r="184" spans="1:6">
      <c r="A184" s="100">
        <v>7</v>
      </c>
      <c r="B184" s="100">
        <v>2</v>
      </c>
      <c r="C184" s="100">
        <v>1</v>
      </c>
      <c r="D184" s="100">
        <v>1</v>
      </c>
      <c r="E184" s="100" t="str">
        <f t="shared" si="9"/>
        <v>211</v>
      </c>
      <c r="F184" s="100">
        <v>1</v>
      </c>
    </row>
    <row r="185" spans="1:6">
      <c r="A185" s="100">
        <v>8</v>
      </c>
      <c r="B185" s="100">
        <v>2</v>
      </c>
      <c r="C185" s="100">
        <v>1</v>
      </c>
      <c r="D185" s="100">
        <v>2</v>
      </c>
      <c r="E185" s="100" t="str">
        <f t="shared" si="9"/>
        <v>212</v>
      </c>
      <c r="F185" s="100">
        <v>1</v>
      </c>
    </row>
    <row r="186" spans="1:6">
      <c r="A186" s="100">
        <v>9</v>
      </c>
      <c r="B186" s="100">
        <v>2</v>
      </c>
      <c r="C186" s="100">
        <v>2</v>
      </c>
      <c r="D186" s="100">
        <v>1</v>
      </c>
      <c r="E186" s="100" t="str">
        <f t="shared" si="9"/>
        <v>221</v>
      </c>
      <c r="F186" s="100">
        <v>1</v>
      </c>
    </row>
    <row r="187" spans="1:6">
      <c r="A187" s="100">
        <v>10</v>
      </c>
      <c r="B187" s="100">
        <v>2</v>
      </c>
      <c r="C187" s="100">
        <v>2</v>
      </c>
      <c r="D187" s="100">
        <v>2</v>
      </c>
      <c r="E187" s="100" t="str">
        <f t="shared" si="9"/>
        <v>222</v>
      </c>
      <c r="F187" s="100">
        <v>2</v>
      </c>
    </row>
    <row r="188" spans="1:6">
      <c r="A188" s="100">
        <v>11</v>
      </c>
      <c r="B188" s="100">
        <v>2</v>
      </c>
      <c r="C188" s="100">
        <v>3</v>
      </c>
      <c r="D188" s="100">
        <v>1</v>
      </c>
      <c r="E188" s="100" t="str">
        <f t="shared" si="9"/>
        <v>231</v>
      </c>
      <c r="F188" s="100">
        <v>2</v>
      </c>
    </row>
    <row r="189" spans="1:6">
      <c r="A189" s="100">
        <v>12</v>
      </c>
      <c r="B189" s="100">
        <v>2</v>
      </c>
      <c r="C189" s="100">
        <v>3</v>
      </c>
      <c r="D189" s="100">
        <v>2</v>
      </c>
      <c r="E189" s="100" t="str">
        <f t="shared" si="9"/>
        <v>232</v>
      </c>
      <c r="F189" s="100">
        <v>3</v>
      </c>
    </row>
    <row r="190" spans="1:6">
      <c r="A190" s="100">
        <v>13</v>
      </c>
      <c r="B190" s="100">
        <v>3</v>
      </c>
      <c r="C190" s="100">
        <v>1</v>
      </c>
      <c r="D190" s="100">
        <v>1</v>
      </c>
      <c r="E190" s="100" t="str">
        <f t="shared" si="9"/>
        <v>311</v>
      </c>
      <c r="F190" s="100">
        <v>1</v>
      </c>
    </row>
    <row r="191" spans="1:6">
      <c r="A191" s="100">
        <v>14</v>
      </c>
      <c r="B191" s="100">
        <v>3</v>
      </c>
      <c r="C191" s="100">
        <v>1</v>
      </c>
      <c r="D191" s="100">
        <v>2</v>
      </c>
      <c r="E191" s="100" t="str">
        <f t="shared" si="9"/>
        <v>312</v>
      </c>
      <c r="F191" s="100">
        <v>2</v>
      </c>
    </row>
    <row r="192" spans="1:6">
      <c r="A192" s="100">
        <v>15</v>
      </c>
      <c r="B192" s="100">
        <v>3</v>
      </c>
      <c r="C192" s="100">
        <v>2</v>
      </c>
      <c r="D192" s="100">
        <v>1</v>
      </c>
      <c r="E192" s="100" t="str">
        <f t="shared" si="9"/>
        <v>321</v>
      </c>
      <c r="F192" s="100">
        <v>2</v>
      </c>
    </row>
    <row r="193" spans="1:7">
      <c r="A193" s="100">
        <v>16</v>
      </c>
      <c r="B193" s="100">
        <v>3</v>
      </c>
      <c r="C193" s="100">
        <v>2</v>
      </c>
      <c r="D193" s="100">
        <v>2</v>
      </c>
      <c r="E193" s="100" t="str">
        <f t="shared" si="9"/>
        <v>322</v>
      </c>
      <c r="F193" s="100">
        <v>3</v>
      </c>
    </row>
    <row r="194" spans="1:7">
      <c r="A194" s="100">
        <v>17</v>
      </c>
      <c r="B194" s="100">
        <v>3</v>
      </c>
      <c r="C194" s="100">
        <v>3</v>
      </c>
      <c r="D194" s="100">
        <v>1</v>
      </c>
      <c r="E194" s="100" t="str">
        <f t="shared" si="9"/>
        <v>331</v>
      </c>
      <c r="F194" s="100">
        <v>2</v>
      </c>
    </row>
    <row r="195" spans="1:7">
      <c r="A195" s="100">
        <v>18</v>
      </c>
      <c r="B195" s="100">
        <v>3</v>
      </c>
      <c r="C195" s="100">
        <v>3</v>
      </c>
      <c r="D195" s="100">
        <v>2</v>
      </c>
      <c r="E195" s="100" t="str">
        <f t="shared" si="9"/>
        <v>332</v>
      </c>
      <c r="F195" s="100">
        <v>3</v>
      </c>
    </row>
    <row r="197" spans="1:7">
      <c r="A197" s="99" t="s">
        <v>363</v>
      </c>
      <c r="B197" s="99" t="s">
        <v>343</v>
      </c>
      <c r="C197" s="99" t="s">
        <v>362</v>
      </c>
      <c r="D197" s="107" t="s">
        <v>312</v>
      </c>
      <c r="E197" s="107" t="s">
        <v>316</v>
      </c>
      <c r="F197" s="99" t="s">
        <v>361</v>
      </c>
      <c r="G197" s="99" t="s">
        <v>17</v>
      </c>
    </row>
    <row r="198" spans="1:7">
      <c r="A198" s="100">
        <v>1</v>
      </c>
      <c r="B198" s="100">
        <v>1</v>
      </c>
      <c r="C198" s="100">
        <v>1</v>
      </c>
      <c r="D198" s="100">
        <v>1</v>
      </c>
      <c r="E198" s="100">
        <v>1</v>
      </c>
      <c r="F198" s="100" t="str">
        <f t="shared" ref="F198:F229" si="10">CONCATENATE(B198,C198,D198,E198)</f>
        <v>1111</v>
      </c>
      <c r="G198" s="100">
        <v>1</v>
      </c>
    </row>
    <row r="199" spans="1:7">
      <c r="A199" s="100">
        <v>2</v>
      </c>
      <c r="B199" s="100">
        <v>1</v>
      </c>
      <c r="C199" s="100">
        <v>1</v>
      </c>
      <c r="D199" s="100">
        <v>1</v>
      </c>
      <c r="E199" s="100">
        <v>2</v>
      </c>
      <c r="F199" s="100" t="str">
        <f t="shared" si="10"/>
        <v>1112</v>
      </c>
      <c r="G199" s="100">
        <v>1</v>
      </c>
    </row>
    <row r="200" spans="1:7">
      <c r="A200" s="100">
        <v>3</v>
      </c>
      <c r="B200" s="100">
        <v>1</v>
      </c>
      <c r="C200" s="100">
        <v>1</v>
      </c>
      <c r="D200" s="100">
        <v>1</v>
      </c>
      <c r="E200" s="100">
        <v>3</v>
      </c>
      <c r="F200" s="100" t="str">
        <f t="shared" si="10"/>
        <v>1113</v>
      </c>
      <c r="G200" s="100">
        <v>1</v>
      </c>
    </row>
    <row r="201" spans="1:7">
      <c r="A201" s="100">
        <v>4</v>
      </c>
      <c r="B201" s="100">
        <v>1</v>
      </c>
      <c r="C201" s="100">
        <v>1</v>
      </c>
      <c r="D201" s="100">
        <v>1</v>
      </c>
      <c r="E201" s="100">
        <v>4</v>
      </c>
      <c r="F201" s="100" t="str">
        <f t="shared" si="10"/>
        <v>1114</v>
      </c>
      <c r="G201" s="100">
        <v>1</v>
      </c>
    </row>
    <row r="202" spans="1:7">
      <c r="A202" s="100">
        <v>5</v>
      </c>
      <c r="B202" s="100">
        <v>1</v>
      </c>
      <c r="C202" s="100">
        <v>1</v>
      </c>
      <c r="D202" s="100">
        <v>2</v>
      </c>
      <c r="E202" s="100">
        <v>1</v>
      </c>
      <c r="F202" s="100" t="str">
        <f t="shared" si="10"/>
        <v>1121</v>
      </c>
      <c r="G202" s="100">
        <v>1</v>
      </c>
    </row>
    <row r="203" spans="1:7">
      <c r="A203" s="100">
        <v>6</v>
      </c>
      <c r="B203" s="100">
        <v>1</v>
      </c>
      <c r="C203" s="100">
        <v>1</v>
      </c>
      <c r="D203" s="100">
        <v>2</v>
      </c>
      <c r="E203" s="100">
        <v>2</v>
      </c>
      <c r="F203" s="100" t="str">
        <f t="shared" si="10"/>
        <v>1122</v>
      </c>
      <c r="G203" s="100">
        <v>1</v>
      </c>
    </row>
    <row r="204" spans="1:7">
      <c r="A204" s="100">
        <v>7</v>
      </c>
      <c r="B204" s="100">
        <v>1</v>
      </c>
      <c r="C204" s="100">
        <v>1</v>
      </c>
      <c r="D204" s="100">
        <v>2</v>
      </c>
      <c r="E204" s="100">
        <v>3</v>
      </c>
      <c r="F204" s="100" t="str">
        <f t="shared" si="10"/>
        <v>1123</v>
      </c>
      <c r="G204" s="100">
        <v>1</v>
      </c>
    </row>
    <row r="205" spans="1:7">
      <c r="A205" s="100">
        <v>8</v>
      </c>
      <c r="B205" s="100">
        <v>1</v>
      </c>
      <c r="C205" s="100">
        <v>1</v>
      </c>
      <c r="D205" s="100">
        <v>2</v>
      </c>
      <c r="E205" s="100">
        <v>4</v>
      </c>
      <c r="F205" s="100" t="str">
        <f t="shared" si="10"/>
        <v>1124</v>
      </c>
      <c r="G205" s="100">
        <v>2</v>
      </c>
    </row>
    <row r="206" spans="1:7">
      <c r="A206" s="100">
        <v>9</v>
      </c>
      <c r="B206" s="100">
        <v>1</v>
      </c>
      <c r="C206" s="100">
        <v>1</v>
      </c>
      <c r="D206" s="100">
        <v>3</v>
      </c>
      <c r="E206" s="100">
        <v>1</v>
      </c>
      <c r="F206" s="100" t="str">
        <f t="shared" si="10"/>
        <v>1131</v>
      </c>
      <c r="G206" s="100">
        <v>1</v>
      </c>
    </row>
    <row r="207" spans="1:7">
      <c r="A207" s="100">
        <v>10</v>
      </c>
      <c r="B207" s="100">
        <v>1</v>
      </c>
      <c r="C207" s="100">
        <v>1</v>
      </c>
      <c r="D207" s="100">
        <v>3</v>
      </c>
      <c r="E207" s="100">
        <v>2</v>
      </c>
      <c r="F207" s="100" t="str">
        <f t="shared" si="10"/>
        <v>1132</v>
      </c>
      <c r="G207" s="100">
        <v>1</v>
      </c>
    </row>
    <row r="208" spans="1:7">
      <c r="A208" s="100">
        <v>11</v>
      </c>
      <c r="B208" s="100">
        <v>1</v>
      </c>
      <c r="C208" s="100">
        <v>1</v>
      </c>
      <c r="D208" s="100">
        <v>3</v>
      </c>
      <c r="E208" s="100">
        <v>3</v>
      </c>
      <c r="F208" s="100" t="str">
        <f t="shared" si="10"/>
        <v>1133</v>
      </c>
      <c r="G208" s="100">
        <v>2</v>
      </c>
    </row>
    <row r="209" spans="1:7">
      <c r="A209" s="100">
        <v>12</v>
      </c>
      <c r="B209" s="100">
        <v>1</v>
      </c>
      <c r="C209" s="100">
        <v>1</v>
      </c>
      <c r="D209" s="100">
        <v>3</v>
      </c>
      <c r="E209" s="100">
        <v>4</v>
      </c>
      <c r="F209" s="100" t="str">
        <f t="shared" si="10"/>
        <v>1134</v>
      </c>
      <c r="G209" s="100">
        <v>2</v>
      </c>
    </row>
    <row r="210" spans="1:7">
      <c r="A210" s="100">
        <v>13</v>
      </c>
      <c r="B210" s="100">
        <v>1</v>
      </c>
      <c r="C210" s="100">
        <v>2</v>
      </c>
      <c r="D210" s="100">
        <v>1</v>
      </c>
      <c r="E210" s="100">
        <v>1</v>
      </c>
      <c r="F210" s="100" t="str">
        <f t="shared" si="10"/>
        <v>1211</v>
      </c>
      <c r="G210" s="100">
        <v>1</v>
      </c>
    </row>
    <row r="211" spans="1:7">
      <c r="A211" s="100">
        <v>14</v>
      </c>
      <c r="B211" s="100">
        <v>1</v>
      </c>
      <c r="C211" s="100">
        <v>2</v>
      </c>
      <c r="D211" s="100">
        <v>1</v>
      </c>
      <c r="E211" s="100">
        <v>2</v>
      </c>
      <c r="F211" s="100" t="str">
        <f t="shared" si="10"/>
        <v>1212</v>
      </c>
      <c r="G211" s="100">
        <v>1</v>
      </c>
    </row>
    <row r="212" spans="1:7">
      <c r="A212" s="100">
        <v>15</v>
      </c>
      <c r="B212" s="100">
        <v>1</v>
      </c>
      <c r="C212" s="100">
        <v>2</v>
      </c>
      <c r="D212" s="100">
        <v>1</v>
      </c>
      <c r="E212" s="100">
        <v>3</v>
      </c>
      <c r="F212" s="100" t="str">
        <f t="shared" si="10"/>
        <v>1213</v>
      </c>
      <c r="G212" s="100">
        <v>1</v>
      </c>
    </row>
    <row r="213" spans="1:7">
      <c r="A213" s="100">
        <v>16</v>
      </c>
      <c r="B213" s="100">
        <v>1</v>
      </c>
      <c r="C213" s="100">
        <v>2</v>
      </c>
      <c r="D213" s="100">
        <v>1</v>
      </c>
      <c r="E213" s="100">
        <v>4</v>
      </c>
      <c r="F213" s="100" t="str">
        <f t="shared" si="10"/>
        <v>1214</v>
      </c>
      <c r="G213" s="100">
        <v>2</v>
      </c>
    </row>
    <row r="214" spans="1:7">
      <c r="A214" s="100">
        <v>17</v>
      </c>
      <c r="B214" s="100">
        <v>1</v>
      </c>
      <c r="C214" s="100">
        <v>2</v>
      </c>
      <c r="D214" s="100">
        <v>2</v>
      </c>
      <c r="E214" s="100">
        <v>1</v>
      </c>
      <c r="F214" s="100" t="str">
        <f t="shared" si="10"/>
        <v>1221</v>
      </c>
      <c r="G214" s="100">
        <v>1</v>
      </c>
    </row>
    <row r="215" spans="1:7">
      <c r="A215" s="100">
        <v>18</v>
      </c>
      <c r="B215" s="100">
        <v>1</v>
      </c>
      <c r="C215" s="100">
        <v>2</v>
      </c>
      <c r="D215" s="100">
        <v>2</v>
      </c>
      <c r="E215" s="100">
        <v>2</v>
      </c>
      <c r="F215" s="100" t="str">
        <f t="shared" si="10"/>
        <v>1222</v>
      </c>
      <c r="G215" s="100">
        <v>1</v>
      </c>
    </row>
    <row r="216" spans="1:7">
      <c r="A216" s="100">
        <v>19</v>
      </c>
      <c r="B216" s="100">
        <v>1</v>
      </c>
      <c r="C216" s="100">
        <v>2</v>
      </c>
      <c r="D216" s="100">
        <v>2</v>
      </c>
      <c r="E216" s="100">
        <v>3</v>
      </c>
      <c r="F216" s="100" t="str">
        <f t="shared" si="10"/>
        <v>1223</v>
      </c>
      <c r="G216" s="100">
        <v>2</v>
      </c>
    </row>
    <row r="217" spans="1:7">
      <c r="A217" s="100">
        <v>20</v>
      </c>
      <c r="B217" s="100">
        <v>1</v>
      </c>
      <c r="C217" s="100">
        <v>2</v>
      </c>
      <c r="D217" s="100">
        <v>2</v>
      </c>
      <c r="E217" s="100">
        <v>4</v>
      </c>
      <c r="F217" s="100" t="str">
        <f t="shared" si="10"/>
        <v>1224</v>
      </c>
      <c r="G217" s="100">
        <v>2</v>
      </c>
    </row>
    <row r="218" spans="1:7">
      <c r="A218" s="100">
        <v>21</v>
      </c>
      <c r="B218" s="100">
        <v>1</v>
      </c>
      <c r="C218" s="100">
        <v>2</v>
      </c>
      <c r="D218" s="100">
        <v>3</v>
      </c>
      <c r="E218" s="100">
        <v>1</v>
      </c>
      <c r="F218" s="100" t="str">
        <f t="shared" si="10"/>
        <v>1231</v>
      </c>
      <c r="G218" s="100">
        <v>1</v>
      </c>
    </row>
    <row r="219" spans="1:7">
      <c r="A219" s="100">
        <v>22</v>
      </c>
      <c r="B219" s="100">
        <v>1</v>
      </c>
      <c r="C219" s="100">
        <v>2</v>
      </c>
      <c r="D219" s="100">
        <v>3</v>
      </c>
      <c r="E219" s="100">
        <v>2</v>
      </c>
      <c r="F219" s="100" t="str">
        <f t="shared" si="10"/>
        <v>1232</v>
      </c>
      <c r="G219" s="100">
        <v>2</v>
      </c>
    </row>
    <row r="220" spans="1:7">
      <c r="A220" s="100">
        <v>23</v>
      </c>
      <c r="B220" s="100">
        <v>1</v>
      </c>
      <c r="C220" s="100">
        <v>2</v>
      </c>
      <c r="D220" s="100">
        <v>3</v>
      </c>
      <c r="E220" s="100">
        <v>3</v>
      </c>
      <c r="F220" s="100" t="str">
        <f t="shared" si="10"/>
        <v>1233</v>
      </c>
      <c r="G220" s="100">
        <v>2</v>
      </c>
    </row>
    <row r="221" spans="1:7">
      <c r="A221" s="100">
        <v>24</v>
      </c>
      <c r="B221" s="100">
        <v>1</v>
      </c>
      <c r="C221" s="100">
        <v>2</v>
      </c>
      <c r="D221" s="100">
        <v>3</v>
      </c>
      <c r="E221" s="100">
        <v>4</v>
      </c>
      <c r="F221" s="100" t="str">
        <f t="shared" si="10"/>
        <v>1234</v>
      </c>
      <c r="G221" s="100">
        <v>3</v>
      </c>
    </row>
    <row r="222" spans="1:7">
      <c r="A222" s="100">
        <v>25</v>
      </c>
      <c r="B222" s="100">
        <v>1</v>
      </c>
      <c r="C222" s="100">
        <v>3</v>
      </c>
      <c r="D222" s="100">
        <v>1</v>
      </c>
      <c r="E222" s="100">
        <v>1</v>
      </c>
      <c r="F222" s="100" t="str">
        <f t="shared" si="10"/>
        <v>1311</v>
      </c>
      <c r="G222" s="100">
        <v>1</v>
      </c>
    </row>
    <row r="223" spans="1:7">
      <c r="A223" s="100">
        <v>26</v>
      </c>
      <c r="B223" s="100">
        <v>1</v>
      </c>
      <c r="C223" s="100">
        <v>3</v>
      </c>
      <c r="D223" s="100">
        <v>1</v>
      </c>
      <c r="E223" s="100">
        <v>2</v>
      </c>
      <c r="F223" s="100" t="str">
        <f t="shared" si="10"/>
        <v>1312</v>
      </c>
      <c r="G223" s="100">
        <v>1</v>
      </c>
    </row>
    <row r="224" spans="1:7">
      <c r="A224" s="100">
        <v>27</v>
      </c>
      <c r="B224" s="100">
        <v>1</v>
      </c>
      <c r="C224" s="100">
        <v>3</v>
      </c>
      <c r="D224" s="100">
        <v>1</v>
      </c>
      <c r="E224" s="100">
        <v>3</v>
      </c>
      <c r="F224" s="100" t="str">
        <f t="shared" si="10"/>
        <v>1313</v>
      </c>
      <c r="G224" s="100">
        <v>2</v>
      </c>
    </row>
    <row r="225" spans="1:7">
      <c r="A225" s="100">
        <v>28</v>
      </c>
      <c r="B225" s="100">
        <v>1</v>
      </c>
      <c r="C225" s="100">
        <v>3</v>
      </c>
      <c r="D225" s="100">
        <v>1</v>
      </c>
      <c r="E225" s="100">
        <v>4</v>
      </c>
      <c r="F225" s="100" t="str">
        <f t="shared" si="10"/>
        <v>1314</v>
      </c>
      <c r="G225" s="100">
        <v>2</v>
      </c>
    </row>
    <row r="226" spans="1:7">
      <c r="A226" s="100">
        <v>29</v>
      </c>
      <c r="B226" s="100">
        <v>1</v>
      </c>
      <c r="C226" s="100">
        <v>3</v>
      </c>
      <c r="D226" s="100">
        <v>2</v>
      </c>
      <c r="E226" s="100">
        <v>1</v>
      </c>
      <c r="F226" s="100" t="str">
        <f t="shared" si="10"/>
        <v>1321</v>
      </c>
      <c r="G226" s="100">
        <v>1</v>
      </c>
    </row>
    <row r="227" spans="1:7">
      <c r="A227" s="100">
        <v>30</v>
      </c>
      <c r="B227" s="100">
        <v>1</v>
      </c>
      <c r="C227" s="100">
        <v>3</v>
      </c>
      <c r="D227" s="100">
        <v>2</v>
      </c>
      <c r="E227" s="100">
        <v>2</v>
      </c>
      <c r="F227" s="100" t="str">
        <f t="shared" si="10"/>
        <v>1322</v>
      </c>
      <c r="G227" s="100">
        <v>2</v>
      </c>
    </row>
    <row r="228" spans="1:7">
      <c r="A228" s="100">
        <v>31</v>
      </c>
      <c r="B228" s="100">
        <v>1</v>
      </c>
      <c r="C228" s="100">
        <v>3</v>
      </c>
      <c r="D228" s="100">
        <v>2</v>
      </c>
      <c r="E228" s="100">
        <v>3</v>
      </c>
      <c r="F228" s="100" t="str">
        <f t="shared" si="10"/>
        <v>1323</v>
      </c>
      <c r="G228" s="100">
        <v>2</v>
      </c>
    </row>
    <row r="229" spans="1:7">
      <c r="A229" s="100">
        <v>32</v>
      </c>
      <c r="B229" s="100">
        <v>1</v>
      </c>
      <c r="C229" s="100">
        <v>3</v>
      </c>
      <c r="D229" s="100">
        <v>2</v>
      </c>
      <c r="E229" s="100">
        <v>4</v>
      </c>
      <c r="F229" s="100" t="str">
        <f t="shared" si="10"/>
        <v>1324</v>
      </c>
      <c r="G229" s="100">
        <v>3</v>
      </c>
    </row>
    <row r="230" spans="1:7">
      <c r="A230" s="100">
        <v>33</v>
      </c>
      <c r="B230" s="100">
        <v>1</v>
      </c>
      <c r="C230" s="100">
        <v>3</v>
      </c>
      <c r="D230" s="100">
        <v>3</v>
      </c>
      <c r="E230" s="100">
        <v>1</v>
      </c>
      <c r="F230" s="100" t="str">
        <f t="shared" ref="F230:F261" si="11">CONCATENATE(B230,C230,D230,E230)</f>
        <v>1331</v>
      </c>
      <c r="G230" s="100">
        <v>2</v>
      </c>
    </row>
    <row r="231" spans="1:7">
      <c r="A231" s="100">
        <v>34</v>
      </c>
      <c r="B231" s="100">
        <v>1</v>
      </c>
      <c r="C231" s="100">
        <v>3</v>
      </c>
      <c r="D231" s="100">
        <v>3</v>
      </c>
      <c r="E231" s="100">
        <v>2</v>
      </c>
      <c r="F231" s="100" t="str">
        <f t="shared" si="11"/>
        <v>1332</v>
      </c>
      <c r="G231" s="100">
        <v>2</v>
      </c>
    </row>
    <row r="232" spans="1:7">
      <c r="A232" s="100">
        <v>35</v>
      </c>
      <c r="B232" s="100">
        <v>1</v>
      </c>
      <c r="C232" s="100">
        <v>3</v>
      </c>
      <c r="D232" s="100">
        <v>3</v>
      </c>
      <c r="E232" s="100">
        <v>3</v>
      </c>
      <c r="F232" s="100" t="str">
        <f t="shared" si="11"/>
        <v>1333</v>
      </c>
      <c r="G232" s="100">
        <v>3</v>
      </c>
    </row>
    <row r="233" spans="1:7">
      <c r="A233" s="100">
        <v>36</v>
      </c>
      <c r="B233" s="100">
        <v>1</v>
      </c>
      <c r="C233" s="100">
        <v>3</v>
      </c>
      <c r="D233" s="100">
        <v>3</v>
      </c>
      <c r="E233" s="100">
        <v>4</v>
      </c>
      <c r="F233" s="100" t="str">
        <f t="shared" si="11"/>
        <v>1334</v>
      </c>
      <c r="G233" s="100">
        <v>3</v>
      </c>
    </row>
    <row r="234" spans="1:7">
      <c r="A234" s="100">
        <v>37</v>
      </c>
      <c r="B234" s="100">
        <v>1</v>
      </c>
      <c r="C234" s="100">
        <v>4</v>
      </c>
      <c r="D234" s="100">
        <v>1</v>
      </c>
      <c r="E234" s="100">
        <v>1</v>
      </c>
      <c r="F234" s="100" t="str">
        <f t="shared" si="11"/>
        <v>1411</v>
      </c>
      <c r="G234" s="100">
        <v>1</v>
      </c>
    </row>
    <row r="235" spans="1:7">
      <c r="A235" s="100">
        <v>38</v>
      </c>
      <c r="B235" s="100">
        <v>1</v>
      </c>
      <c r="C235" s="100">
        <v>4</v>
      </c>
      <c r="D235" s="100">
        <v>1</v>
      </c>
      <c r="E235" s="100">
        <v>2</v>
      </c>
      <c r="F235" s="100" t="str">
        <f t="shared" si="11"/>
        <v>1412</v>
      </c>
      <c r="G235" s="100">
        <v>2</v>
      </c>
    </row>
    <row r="236" spans="1:7">
      <c r="A236" s="100">
        <v>39</v>
      </c>
      <c r="B236" s="100">
        <v>1</v>
      </c>
      <c r="C236" s="100">
        <v>4</v>
      </c>
      <c r="D236" s="100">
        <v>1</v>
      </c>
      <c r="E236" s="100">
        <v>3</v>
      </c>
      <c r="F236" s="100" t="str">
        <f t="shared" si="11"/>
        <v>1413</v>
      </c>
      <c r="G236" s="100">
        <v>2</v>
      </c>
    </row>
    <row r="237" spans="1:7">
      <c r="A237" s="100">
        <v>40</v>
      </c>
      <c r="B237" s="100">
        <v>1</v>
      </c>
      <c r="C237" s="100">
        <v>4</v>
      </c>
      <c r="D237" s="100">
        <v>1</v>
      </c>
      <c r="E237" s="100">
        <v>4</v>
      </c>
      <c r="F237" s="100" t="str">
        <f t="shared" si="11"/>
        <v>1414</v>
      </c>
      <c r="G237" s="100">
        <v>3</v>
      </c>
    </row>
    <row r="238" spans="1:7">
      <c r="A238" s="100">
        <v>41</v>
      </c>
      <c r="B238" s="100">
        <v>1</v>
      </c>
      <c r="C238" s="100">
        <v>4</v>
      </c>
      <c r="D238" s="100">
        <v>2</v>
      </c>
      <c r="E238" s="100">
        <v>1</v>
      </c>
      <c r="F238" s="100" t="str">
        <f t="shared" si="11"/>
        <v>1421</v>
      </c>
      <c r="G238" s="100">
        <v>2</v>
      </c>
    </row>
    <row r="239" spans="1:7">
      <c r="A239" s="100">
        <v>42</v>
      </c>
      <c r="B239" s="100">
        <v>1</v>
      </c>
      <c r="C239" s="100">
        <v>4</v>
      </c>
      <c r="D239" s="100">
        <v>2</v>
      </c>
      <c r="E239" s="100">
        <v>2</v>
      </c>
      <c r="F239" s="100" t="str">
        <f t="shared" si="11"/>
        <v>1422</v>
      </c>
      <c r="G239" s="100">
        <v>2</v>
      </c>
    </row>
    <row r="240" spans="1:7">
      <c r="A240" s="100">
        <v>43</v>
      </c>
      <c r="B240" s="100">
        <v>1</v>
      </c>
      <c r="C240" s="100">
        <v>4</v>
      </c>
      <c r="D240" s="100">
        <v>2</v>
      </c>
      <c r="E240" s="100">
        <v>3</v>
      </c>
      <c r="F240" s="100" t="str">
        <f t="shared" si="11"/>
        <v>1423</v>
      </c>
      <c r="G240" s="100">
        <v>3</v>
      </c>
    </row>
    <row r="241" spans="1:7">
      <c r="A241" s="100">
        <v>44</v>
      </c>
      <c r="B241" s="100">
        <v>1</v>
      </c>
      <c r="C241" s="100">
        <v>4</v>
      </c>
      <c r="D241" s="100">
        <v>2</v>
      </c>
      <c r="E241" s="100">
        <v>4</v>
      </c>
      <c r="F241" s="100" t="str">
        <f t="shared" si="11"/>
        <v>1424</v>
      </c>
      <c r="G241" s="100">
        <v>3</v>
      </c>
    </row>
    <row r="242" spans="1:7">
      <c r="A242" s="100">
        <v>45</v>
      </c>
      <c r="B242" s="100">
        <v>1</v>
      </c>
      <c r="C242" s="100">
        <v>4</v>
      </c>
      <c r="D242" s="100">
        <v>3</v>
      </c>
      <c r="E242" s="100">
        <v>1</v>
      </c>
      <c r="F242" s="100" t="str">
        <f t="shared" si="11"/>
        <v>1431</v>
      </c>
      <c r="G242" s="100">
        <v>2</v>
      </c>
    </row>
    <row r="243" spans="1:7">
      <c r="A243" s="100">
        <v>46</v>
      </c>
      <c r="B243" s="100">
        <v>1</v>
      </c>
      <c r="C243" s="100">
        <v>4</v>
      </c>
      <c r="D243" s="100">
        <v>3</v>
      </c>
      <c r="E243" s="100">
        <v>2</v>
      </c>
      <c r="F243" s="100" t="str">
        <f t="shared" si="11"/>
        <v>1432</v>
      </c>
      <c r="G243" s="100">
        <v>3</v>
      </c>
    </row>
    <row r="244" spans="1:7">
      <c r="A244" s="100">
        <v>47</v>
      </c>
      <c r="B244" s="100">
        <v>1</v>
      </c>
      <c r="C244" s="100">
        <v>4</v>
      </c>
      <c r="D244" s="100">
        <v>3</v>
      </c>
      <c r="E244" s="100">
        <v>3</v>
      </c>
      <c r="F244" s="100" t="str">
        <f t="shared" si="11"/>
        <v>1433</v>
      </c>
      <c r="G244" s="100">
        <v>3</v>
      </c>
    </row>
    <row r="245" spans="1:7">
      <c r="A245" s="100">
        <v>48</v>
      </c>
      <c r="B245" s="100">
        <v>1</v>
      </c>
      <c r="C245" s="100">
        <v>4</v>
      </c>
      <c r="D245" s="100">
        <v>3</v>
      </c>
      <c r="E245" s="100">
        <v>4</v>
      </c>
      <c r="F245" s="100" t="str">
        <f t="shared" si="11"/>
        <v>1434</v>
      </c>
      <c r="G245" s="100">
        <v>3</v>
      </c>
    </row>
    <row r="246" spans="1:7">
      <c r="A246" s="100">
        <v>49</v>
      </c>
      <c r="B246" s="100">
        <v>2</v>
      </c>
      <c r="C246" s="100">
        <v>1</v>
      </c>
      <c r="D246" s="100">
        <v>1</v>
      </c>
      <c r="E246" s="100">
        <v>1</v>
      </c>
      <c r="F246" s="100" t="str">
        <f t="shared" si="11"/>
        <v>2111</v>
      </c>
      <c r="G246" s="100">
        <v>1</v>
      </c>
    </row>
    <row r="247" spans="1:7">
      <c r="A247" s="100">
        <v>50</v>
      </c>
      <c r="B247" s="100">
        <v>2</v>
      </c>
      <c r="C247" s="100">
        <v>1</v>
      </c>
      <c r="D247" s="100">
        <v>1</v>
      </c>
      <c r="E247" s="100">
        <v>2</v>
      </c>
      <c r="F247" s="100" t="str">
        <f t="shared" si="11"/>
        <v>2112</v>
      </c>
      <c r="G247" s="100">
        <v>1</v>
      </c>
    </row>
    <row r="248" spans="1:7">
      <c r="A248" s="100">
        <v>51</v>
      </c>
      <c r="B248" s="100">
        <v>2</v>
      </c>
      <c r="C248" s="100">
        <v>1</v>
      </c>
      <c r="D248" s="100">
        <v>1</v>
      </c>
      <c r="E248" s="100">
        <v>3</v>
      </c>
      <c r="F248" s="100" t="str">
        <f t="shared" si="11"/>
        <v>2113</v>
      </c>
      <c r="G248" s="100">
        <v>2</v>
      </c>
    </row>
    <row r="249" spans="1:7">
      <c r="A249" s="100">
        <v>52</v>
      </c>
      <c r="B249" s="100">
        <v>2</v>
      </c>
      <c r="C249" s="100">
        <v>1</v>
      </c>
      <c r="D249" s="100">
        <v>1</v>
      </c>
      <c r="E249" s="100">
        <v>4</v>
      </c>
      <c r="F249" s="100" t="str">
        <f t="shared" si="11"/>
        <v>2114</v>
      </c>
      <c r="G249" s="100">
        <v>2</v>
      </c>
    </row>
    <row r="250" spans="1:7">
      <c r="A250" s="100">
        <v>53</v>
      </c>
      <c r="B250" s="100">
        <v>2</v>
      </c>
      <c r="C250" s="100">
        <v>1</v>
      </c>
      <c r="D250" s="100">
        <v>2</v>
      </c>
      <c r="E250" s="100">
        <v>1</v>
      </c>
      <c r="F250" s="100" t="str">
        <f t="shared" si="11"/>
        <v>2121</v>
      </c>
      <c r="G250" s="100">
        <v>1</v>
      </c>
    </row>
    <row r="251" spans="1:7">
      <c r="A251" s="100">
        <v>54</v>
      </c>
      <c r="B251" s="100">
        <v>2</v>
      </c>
      <c r="C251" s="100">
        <v>1</v>
      </c>
      <c r="D251" s="100">
        <v>2</v>
      </c>
      <c r="E251" s="100">
        <v>2</v>
      </c>
      <c r="F251" s="100" t="str">
        <f t="shared" si="11"/>
        <v>2122</v>
      </c>
      <c r="G251" s="100">
        <v>2</v>
      </c>
    </row>
    <row r="252" spans="1:7">
      <c r="A252" s="100">
        <v>55</v>
      </c>
      <c r="B252" s="100">
        <v>2</v>
      </c>
      <c r="C252" s="100">
        <v>1</v>
      </c>
      <c r="D252" s="100">
        <v>2</v>
      </c>
      <c r="E252" s="100">
        <v>3</v>
      </c>
      <c r="F252" s="100" t="str">
        <f t="shared" si="11"/>
        <v>2123</v>
      </c>
      <c r="G252" s="100">
        <v>2</v>
      </c>
    </row>
    <row r="253" spans="1:7">
      <c r="A253" s="100">
        <v>56</v>
      </c>
      <c r="B253" s="100">
        <v>2</v>
      </c>
      <c r="C253" s="100">
        <v>1</v>
      </c>
      <c r="D253" s="100">
        <v>2</v>
      </c>
      <c r="E253" s="100">
        <v>4</v>
      </c>
      <c r="F253" s="100" t="str">
        <f t="shared" si="11"/>
        <v>2124</v>
      </c>
      <c r="G253" s="100">
        <v>3</v>
      </c>
    </row>
    <row r="254" spans="1:7">
      <c r="A254" s="100">
        <v>57</v>
      </c>
      <c r="B254" s="100">
        <v>2</v>
      </c>
      <c r="C254" s="100">
        <v>1</v>
      </c>
      <c r="D254" s="100">
        <v>3</v>
      </c>
      <c r="E254" s="100">
        <v>1</v>
      </c>
      <c r="F254" s="100" t="str">
        <f t="shared" si="11"/>
        <v>2131</v>
      </c>
      <c r="G254" s="100">
        <v>2</v>
      </c>
    </row>
    <row r="255" spans="1:7">
      <c r="A255" s="100">
        <v>58</v>
      </c>
      <c r="B255" s="100">
        <v>2</v>
      </c>
      <c r="C255" s="100">
        <v>1</v>
      </c>
      <c r="D255" s="100">
        <v>3</v>
      </c>
      <c r="E255" s="100">
        <v>2</v>
      </c>
      <c r="F255" s="100" t="str">
        <f t="shared" si="11"/>
        <v>2132</v>
      </c>
      <c r="G255" s="100">
        <v>2</v>
      </c>
    </row>
    <row r="256" spans="1:7">
      <c r="A256" s="100">
        <v>59</v>
      </c>
      <c r="B256" s="100">
        <v>2</v>
      </c>
      <c r="C256" s="100">
        <v>1</v>
      </c>
      <c r="D256" s="100">
        <v>3</v>
      </c>
      <c r="E256" s="100">
        <v>3</v>
      </c>
      <c r="F256" s="100" t="str">
        <f t="shared" si="11"/>
        <v>2133</v>
      </c>
      <c r="G256" s="100">
        <v>3</v>
      </c>
    </row>
    <row r="257" spans="1:7">
      <c r="A257" s="100">
        <v>60</v>
      </c>
      <c r="B257" s="100">
        <v>2</v>
      </c>
      <c r="C257" s="100">
        <v>1</v>
      </c>
      <c r="D257" s="100">
        <v>3</v>
      </c>
      <c r="E257" s="100">
        <v>4</v>
      </c>
      <c r="F257" s="100" t="str">
        <f t="shared" si="11"/>
        <v>2134</v>
      </c>
      <c r="G257" s="100">
        <v>3</v>
      </c>
    </row>
    <row r="258" spans="1:7">
      <c r="A258" s="100">
        <v>61</v>
      </c>
      <c r="B258" s="100">
        <v>2</v>
      </c>
      <c r="C258" s="100">
        <v>2</v>
      </c>
      <c r="D258" s="100">
        <v>1</v>
      </c>
      <c r="E258" s="100">
        <v>1</v>
      </c>
      <c r="F258" s="100" t="str">
        <f t="shared" si="11"/>
        <v>2211</v>
      </c>
      <c r="G258" s="100">
        <v>1</v>
      </c>
    </row>
    <row r="259" spans="1:7">
      <c r="A259" s="100">
        <v>62</v>
      </c>
      <c r="B259" s="100">
        <v>2</v>
      </c>
      <c r="C259" s="100">
        <v>2</v>
      </c>
      <c r="D259" s="100">
        <v>1</v>
      </c>
      <c r="E259" s="100">
        <v>2</v>
      </c>
      <c r="F259" s="100" t="str">
        <f t="shared" si="11"/>
        <v>2212</v>
      </c>
      <c r="G259" s="100">
        <v>2</v>
      </c>
    </row>
    <row r="260" spans="1:7">
      <c r="A260" s="100">
        <v>63</v>
      </c>
      <c r="B260" s="100">
        <v>2</v>
      </c>
      <c r="C260" s="100">
        <v>2</v>
      </c>
      <c r="D260" s="100">
        <v>1</v>
      </c>
      <c r="E260" s="100">
        <v>3</v>
      </c>
      <c r="F260" s="100" t="str">
        <f t="shared" si="11"/>
        <v>2213</v>
      </c>
      <c r="G260" s="100">
        <v>2</v>
      </c>
    </row>
    <row r="261" spans="1:7">
      <c r="A261" s="100">
        <v>64</v>
      </c>
      <c r="B261" s="100">
        <v>2</v>
      </c>
      <c r="C261" s="100">
        <v>2</v>
      </c>
      <c r="D261" s="100">
        <v>1</v>
      </c>
      <c r="E261" s="100">
        <v>4</v>
      </c>
      <c r="F261" s="100" t="str">
        <f t="shared" si="11"/>
        <v>2214</v>
      </c>
      <c r="G261" s="100">
        <v>3</v>
      </c>
    </row>
    <row r="262" spans="1:7">
      <c r="A262" s="100">
        <v>65</v>
      </c>
      <c r="B262" s="100">
        <v>2</v>
      </c>
      <c r="C262" s="100">
        <v>2</v>
      </c>
      <c r="D262" s="100">
        <v>2</v>
      </c>
      <c r="E262" s="100">
        <v>1</v>
      </c>
      <c r="F262" s="100" t="str">
        <f t="shared" ref="F262:F293" si="12">CONCATENATE(B262,C262,D262,E262)</f>
        <v>2221</v>
      </c>
      <c r="G262" s="100">
        <v>2</v>
      </c>
    </row>
    <row r="263" spans="1:7">
      <c r="A263" s="100">
        <v>66</v>
      </c>
      <c r="B263" s="100">
        <v>2</v>
      </c>
      <c r="C263" s="100">
        <v>2</v>
      </c>
      <c r="D263" s="100">
        <v>2</v>
      </c>
      <c r="E263" s="100">
        <v>2</v>
      </c>
      <c r="F263" s="100" t="str">
        <f t="shared" si="12"/>
        <v>2222</v>
      </c>
      <c r="G263" s="100">
        <v>2</v>
      </c>
    </row>
    <row r="264" spans="1:7">
      <c r="A264" s="100">
        <v>67</v>
      </c>
      <c r="B264" s="100">
        <v>2</v>
      </c>
      <c r="C264" s="100">
        <v>2</v>
      </c>
      <c r="D264" s="100">
        <v>2</v>
      </c>
      <c r="E264" s="100">
        <v>3</v>
      </c>
      <c r="F264" s="100" t="str">
        <f t="shared" si="12"/>
        <v>2223</v>
      </c>
      <c r="G264" s="100">
        <v>3</v>
      </c>
    </row>
    <row r="265" spans="1:7">
      <c r="A265" s="100">
        <v>68</v>
      </c>
      <c r="B265" s="100">
        <v>2</v>
      </c>
      <c r="C265" s="100">
        <v>2</v>
      </c>
      <c r="D265" s="100">
        <v>2</v>
      </c>
      <c r="E265" s="100">
        <v>4</v>
      </c>
      <c r="F265" s="100" t="str">
        <f t="shared" si="12"/>
        <v>2224</v>
      </c>
      <c r="G265" s="100">
        <v>3</v>
      </c>
    </row>
    <row r="266" spans="1:7">
      <c r="A266" s="100">
        <v>69</v>
      </c>
      <c r="B266" s="100">
        <v>2</v>
      </c>
      <c r="C266" s="100">
        <v>2</v>
      </c>
      <c r="D266" s="100">
        <v>3</v>
      </c>
      <c r="E266" s="100">
        <v>1</v>
      </c>
      <c r="F266" s="100" t="str">
        <f t="shared" si="12"/>
        <v>2231</v>
      </c>
      <c r="G266" s="100">
        <v>2</v>
      </c>
    </row>
    <row r="267" spans="1:7">
      <c r="A267" s="100">
        <v>70</v>
      </c>
      <c r="B267" s="100">
        <v>2</v>
      </c>
      <c r="C267" s="100">
        <v>2</v>
      </c>
      <c r="D267" s="100">
        <v>3</v>
      </c>
      <c r="E267" s="100">
        <v>2</v>
      </c>
      <c r="F267" s="100" t="str">
        <f t="shared" si="12"/>
        <v>2232</v>
      </c>
      <c r="G267" s="100">
        <v>3</v>
      </c>
    </row>
    <row r="268" spans="1:7">
      <c r="A268" s="100">
        <v>71</v>
      </c>
      <c r="B268" s="100">
        <v>2</v>
      </c>
      <c r="C268" s="100">
        <v>2</v>
      </c>
      <c r="D268" s="100">
        <v>3</v>
      </c>
      <c r="E268" s="100">
        <v>3</v>
      </c>
      <c r="F268" s="100" t="str">
        <f t="shared" si="12"/>
        <v>2233</v>
      </c>
      <c r="G268" s="100">
        <v>3</v>
      </c>
    </row>
    <row r="269" spans="1:7">
      <c r="A269" s="100">
        <v>72</v>
      </c>
      <c r="B269" s="100">
        <v>2</v>
      </c>
      <c r="C269" s="100">
        <v>2</v>
      </c>
      <c r="D269" s="100">
        <v>3</v>
      </c>
      <c r="E269" s="100">
        <v>4</v>
      </c>
      <c r="F269" s="100" t="str">
        <f t="shared" si="12"/>
        <v>2234</v>
      </c>
      <c r="G269" s="100">
        <v>3</v>
      </c>
    </row>
    <row r="270" spans="1:7">
      <c r="A270" s="100">
        <v>73</v>
      </c>
      <c r="B270" s="100">
        <v>2</v>
      </c>
      <c r="C270" s="100">
        <v>3</v>
      </c>
      <c r="D270" s="100">
        <v>1</v>
      </c>
      <c r="E270" s="100">
        <v>1</v>
      </c>
      <c r="F270" s="100" t="str">
        <f t="shared" si="12"/>
        <v>2311</v>
      </c>
      <c r="G270" s="100">
        <v>1</v>
      </c>
    </row>
    <row r="271" spans="1:7">
      <c r="A271" s="100">
        <v>74</v>
      </c>
      <c r="B271" s="100">
        <v>2</v>
      </c>
      <c r="C271" s="100">
        <v>3</v>
      </c>
      <c r="D271" s="100">
        <v>1</v>
      </c>
      <c r="E271" s="100">
        <v>2</v>
      </c>
      <c r="F271" s="100" t="str">
        <f t="shared" si="12"/>
        <v>2312</v>
      </c>
      <c r="G271" s="100">
        <v>2</v>
      </c>
    </row>
    <row r="272" spans="1:7">
      <c r="A272" s="100">
        <v>75</v>
      </c>
      <c r="B272" s="100">
        <v>2</v>
      </c>
      <c r="C272" s="100">
        <v>3</v>
      </c>
      <c r="D272" s="100">
        <v>1</v>
      </c>
      <c r="E272" s="100">
        <v>3</v>
      </c>
      <c r="F272" s="100" t="str">
        <f t="shared" si="12"/>
        <v>2313</v>
      </c>
      <c r="G272" s="100">
        <v>3</v>
      </c>
    </row>
    <row r="273" spans="1:7">
      <c r="A273" s="100">
        <v>76</v>
      </c>
      <c r="B273" s="100">
        <v>2</v>
      </c>
      <c r="C273" s="100">
        <v>3</v>
      </c>
      <c r="D273" s="100">
        <v>1</v>
      </c>
      <c r="E273" s="100">
        <v>4</v>
      </c>
      <c r="F273" s="100" t="str">
        <f t="shared" si="12"/>
        <v>2314</v>
      </c>
      <c r="G273" s="100">
        <v>3</v>
      </c>
    </row>
    <row r="274" spans="1:7">
      <c r="A274" s="100">
        <v>77</v>
      </c>
      <c r="B274" s="100">
        <v>2</v>
      </c>
      <c r="C274" s="100">
        <v>3</v>
      </c>
      <c r="D274" s="100">
        <v>2</v>
      </c>
      <c r="E274" s="100">
        <v>1</v>
      </c>
      <c r="F274" s="100" t="str">
        <f t="shared" si="12"/>
        <v>2321</v>
      </c>
      <c r="G274" s="100">
        <v>2</v>
      </c>
    </row>
    <row r="275" spans="1:7">
      <c r="A275" s="100">
        <v>78</v>
      </c>
      <c r="B275" s="100">
        <v>2</v>
      </c>
      <c r="C275" s="100">
        <v>3</v>
      </c>
      <c r="D275" s="100">
        <v>2</v>
      </c>
      <c r="E275" s="100">
        <v>2</v>
      </c>
      <c r="F275" s="100" t="str">
        <f t="shared" si="12"/>
        <v>2322</v>
      </c>
      <c r="G275" s="100">
        <v>3</v>
      </c>
    </row>
    <row r="276" spans="1:7">
      <c r="A276" s="100">
        <v>79</v>
      </c>
      <c r="B276" s="100">
        <v>2</v>
      </c>
      <c r="C276" s="100">
        <v>3</v>
      </c>
      <c r="D276" s="100">
        <v>2</v>
      </c>
      <c r="E276" s="100">
        <v>3</v>
      </c>
      <c r="F276" s="100" t="str">
        <f t="shared" si="12"/>
        <v>2323</v>
      </c>
      <c r="G276" s="100">
        <v>3</v>
      </c>
    </row>
    <row r="277" spans="1:7">
      <c r="A277" s="100">
        <v>80</v>
      </c>
      <c r="B277" s="100">
        <v>2</v>
      </c>
      <c r="C277" s="100">
        <v>3</v>
      </c>
      <c r="D277" s="100">
        <v>2</v>
      </c>
      <c r="E277" s="100">
        <v>4</v>
      </c>
      <c r="F277" s="100" t="str">
        <f t="shared" si="12"/>
        <v>2324</v>
      </c>
      <c r="G277" s="100">
        <v>3</v>
      </c>
    </row>
    <row r="278" spans="1:7">
      <c r="A278" s="100">
        <v>81</v>
      </c>
      <c r="B278" s="100">
        <v>2</v>
      </c>
      <c r="C278" s="100">
        <v>3</v>
      </c>
      <c r="D278" s="100">
        <v>3</v>
      </c>
      <c r="E278" s="100">
        <v>1</v>
      </c>
      <c r="F278" s="100" t="str">
        <f t="shared" si="12"/>
        <v>2331</v>
      </c>
      <c r="G278" s="100">
        <v>2</v>
      </c>
    </row>
    <row r="279" spans="1:7">
      <c r="A279" s="100">
        <v>82</v>
      </c>
      <c r="B279" s="100">
        <v>2</v>
      </c>
      <c r="C279" s="100">
        <v>3</v>
      </c>
      <c r="D279" s="100">
        <v>3</v>
      </c>
      <c r="E279" s="100">
        <v>2</v>
      </c>
      <c r="F279" s="100" t="str">
        <f t="shared" si="12"/>
        <v>2332</v>
      </c>
      <c r="G279" s="100">
        <v>3</v>
      </c>
    </row>
    <row r="280" spans="1:7">
      <c r="A280" s="100">
        <v>83</v>
      </c>
      <c r="B280" s="100">
        <v>2</v>
      </c>
      <c r="C280" s="100">
        <v>3</v>
      </c>
      <c r="D280" s="100">
        <v>3</v>
      </c>
      <c r="E280" s="100">
        <v>3</v>
      </c>
      <c r="F280" s="100" t="str">
        <f t="shared" si="12"/>
        <v>2333</v>
      </c>
      <c r="G280" s="100">
        <v>3</v>
      </c>
    </row>
    <row r="281" spans="1:7">
      <c r="A281" s="100">
        <v>84</v>
      </c>
      <c r="B281" s="100">
        <v>2</v>
      </c>
      <c r="C281" s="100">
        <v>3</v>
      </c>
      <c r="D281" s="100">
        <v>3</v>
      </c>
      <c r="E281" s="100">
        <v>4</v>
      </c>
      <c r="F281" s="100" t="str">
        <f t="shared" si="12"/>
        <v>2334</v>
      </c>
      <c r="G281" s="100">
        <v>4</v>
      </c>
    </row>
    <row r="282" spans="1:7">
      <c r="A282" s="100">
        <v>85</v>
      </c>
      <c r="B282" s="100">
        <v>2</v>
      </c>
      <c r="C282" s="100">
        <v>4</v>
      </c>
      <c r="D282" s="100">
        <v>1</v>
      </c>
      <c r="E282" s="100">
        <v>1</v>
      </c>
      <c r="F282" s="100" t="str">
        <f t="shared" si="12"/>
        <v>2411</v>
      </c>
      <c r="G282" s="100">
        <v>1</v>
      </c>
    </row>
    <row r="283" spans="1:7">
      <c r="A283" s="100">
        <v>86</v>
      </c>
      <c r="B283" s="100">
        <v>2</v>
      </c>
      <c r="C283" s="100">
        <v>4</v>
      </c>
      <c r="D283" s="100">
        <v>1</v>
      </c>
      <c r="E283" s="100">
        <v>2</v>
      </c>
      <c r="F283" s="100" t="str">
        <f t="shared" si="12"/>
        <v>2412</v>
      </c>
      <c r="G283" s="100">
        <v>3</v>
      </c>
    </row>
    <row r="284" spans="1:7">
      <c r="A284" s="100">
        <v>87</v>
      </c>
      <c r="B284" s="100">
        <v>2</v>
      </c>
      <c r="C284" s="100">
        <v>4</v>
      </c>
      <c r="D284" s="100">
        <v>1</v>
      </c>
      <c r="E284" s="100">
        <v>3</v>
      </c>
      <c r="F284" s="100" t="str">
        <f t="shared" si="12"/>
        <v>2413</v>
      </c>
      <c r="G284" s="100">
        <v>3</v>
      </c>
    </row>
    <row r="285" spans="1:7">
      <c r="A285" s="100">
        <v>88</v>
      </c>
      <c r="B285" s="100">
        <v>2</v>
      </c>
      <c r="C285" s="100">
        <v>4</v>
      </c>
      <c r="D285" s="100">
        <v>1</v>
      </c>
      <c r="E285" s="100">
        <v>4</v>
      </c>
      <c r="F285" s="100" t="str">
        <f t="shared" si="12"/>
        <v>2414</v>
      </c>
      <c r="G285" s="100">
        <v>3</v>
      </c>
    </row>
    <row r="286" spans="1:7">
      <c r="A286" s="100">
        <v>89</v>
      </c>
      <c r="B286" s="100">
        <v>2</v>
      </c>
      <c r="C286" s="100">
        <v>4</v>
      </c>
      <c r="D286" s="100">
        <v>2</v>
      </c>
      <c r="E286" s="100">
        <v>1</v>
      </c>
      <c r="F286" s="100" t="str">
        <f t="shared" si="12"/>
        <v>2421</v>
      </c>
      <c r="G286" s="100">
        <v>2</v>
      </c>
    </row>
    <row r="287" spans="1:7">
      <c r="A287" s="100">
        <v>90</v>
      </c>
      <c r="B287" s="100">
        <v>2</v>
      </c>
      <c r="C287" s="100">
        <v>4</v>
      </c>
      <c r="D287" s="100">
        <v>2</v>
      </c>
      <c r="E287" s="100">
        <v>2</v>
      </c>
      <c r="F287" s="100" t="str">
        <f t="shared" si="12"/>
        <v>2422</v>
      </c>
      <c r="G287" s="100">
        <v>3</v>
      </c>
    </row>
    <row r="288" spans="1:7">
      <c r="A288" s="100">
        <v>91</v>
      </c>
      <c r="B288" s="100">
        <v>2</v>
      </c>
      <c r="C288" s="100">
        <v>4</v>
      </c>
      <c r="D288" s="100">
        <v>2</v>
      </c>
      <c r="E288" s="100">
        <v>3</v>
      </c>
      <c r="F288" s="100" t="str">
        <f t="shared" si="12"/>
        <v>2423</v>
      </c>
      <c r="G288" s="100">
        <v>3</v>
      </c>
    </row>
    <row r="289" spans="1:7">
      <c r="A289" s="100">
        <v>92</v>
      </c>
      <c r="B289" s="100">
        <v>2</v>
      </c>
      <c r="C289" s="100">
        <v>4</v>
      </c>
      <c r="D289" s="100">
        <v>2</v>
      </c>
      <c r="E289" s="100">
        <v>4</v>
      </c>
      <c r="F289" s="100" t="str">
        <f t="shared" si="12"/>
        <v>2424</v>
      </c>
      <c r="G289" s="100">
        <v>4</v>
      </c>
    </row>
    <row r="290" spans="1:7">
      <c r="A290" s="100">
        <v>93</v>
      </c>
      <c r="B290" s="100">
        <v>2</v>
      </c>
      <c r="C290" s="100">
        <v>4</v>
      </c>
      <c r="D290" s="100">
        <v>3</v>
      </c>
      <c r="E290" s="100">
        <v>1</v>
      </c>
      <c r="F290" s="100" t="str">
        <f t="shared" si="12"/>
        <v>2431</v>
      </c>
      <c r="G290" s="100">
        <v>2</v>
      </c>
    </row>
    <row r="291" spans="1:7">
      <c r="A291" s="100">
        <v>94</v>
      </c>
      <c r="B291" s="100">
        <v>2</v>
      </c>
      <c r="C291" s="100">
        <v>4</v>
      </c>
      <c r="D291" s="100">
        <v>3</v>
      </c>
      <c r="E291" s="100">
        <v>2</v>
      </c>
      <c r="F291" s="100" t="str">
        <f t="shared" si="12"/>
        <v>2432</v>
      </c>
      <c r="G291" s="100">
        <v>3</v>
      </c>
    </row>
    <row r="292" spans="1:7">
      <c r="A292" s="100">
        <v>95</v>
      </c>
      <c r="B292" s="100">
        <v>2</v>
      </c>
      <c r="C292" s="100">
        <v>4</v>
      </c>
      <c r="D292" s="100">
        <v>3</v>
      </c>
      <c r="E292" s="100">
        <v>3</v>
      </c>
      <c r="F292" s="100" t="str">
        <f t="shared" si="12"/>
        <v>2433</v>
      </c>
      <c r="G292" s="100">
        <v>4</v>
      </c>
    </row>
    <row r="293" spans="1:7">
      <c r="A293" s="100">
        <v>96</v>
      </c>
      <c r="B293" s="100">
        <v>2</v>
      </c>
      <c r="C293" s="100">
        <v>4</v>
      </c>
      <c r="D293" s="100">
        <v>3</v>
      </c>
      <c r="E293" s="100">
        <v>4</v>
      </c>
      <c r="F293" s="100" t="str">
        <f t="shared" si="12"/>
        <v>2434</v>
      </c>
      <c r="G293" s="100">
        <v>5</v>
      </c>
    </row>
    <row r="294" spans="1:7">
      <c r="A294" s="100">
        <v>97</v>
      </c>
      <c r="B294" s="100">
        <v>3</v>
      </c>
      <c r="C294" s="100">
        <v>1</v>
      </c>
      <c r="D294" s="100">
        <v>1</v>
      </c>
      <c r="E294" s="100">
        <v>1</v>
      </c>
      <c r="F294" s="100" t="str">
        <f t="shared" ref="F294:F325" si="13">CONCATENATE(B294,C294,D294,E294)</f>
        <v>3111</v>
      </c>
      <c r="G294" s="100">
        <v>1</v>
      </c>
    </row>
    <row r="295" spans="1:7">
      <c r="A295" s="100">
        <v>98</v>
      </c>
      <c r="B295" s="100">
        <v>3</v>
      </c>
      <c r="C295" s="100">
        <v>1</v>
      </c>
      <c r="D295" s="100">
        <v>1</v>
      </c>
      <c r="E295" s="100">
        <v>2</v>
      </c>
      <c r="F295" s="100" t="str">
        <f t="shared" si="13"/>
        <v>3112</v>
      </c>
      <c r="G295" s="100">
        <v>2</v>
      </c>
    </row>
    <row r="296" spans="1:7">
      <c r="A296" s="100">
        <v>99</v>
      </c>
      <c r="B296" s="100">
        <v>3</v>
      </c>
      <c r="C296" s="100">
        <v>1</v>
      </c>
      <c r="D296" s="100">
        <v>1</v>
      </c>
      <c r="E296" s="100">
        <v>3</v>
      </c>
      <c r="F296" s="100" t="str">
        <f t="shared" si="13"/>
        <v>3113</v>
      </c>
      <c r="G296" s="100">
        <v>3</v>
      </c>
    </row>
    <row r="297" spans="1:7">
      <c r="A297" s="100">
        <v>100</v>
      </c>
      <c r="B297" s="100">
        <v>3</v>
      </c>
      <c r="C297" s="100">
        <v>1</v>
      </c>
      <c r="D297" s="100">
        <v>1</v>
      </c>
      <c r="E297" s="100">
        <v>4</v>
      </c>
      <c r="F297" s="100" t="str">
        <f t="shared" si="13"/>
        <v>3114</v>
      </c>
      <c r="G297" s="100">
        <v>3</v>
      </c>
    </row>
    <row r="298" spans="1:7">
      <c r="A298" s="100">
        <v>101</v>
      </c>
      <c r="B298" s="100">
        <v>3</v>
      </c>
      <c r="C298" s="100">
        <v>1</v>
      </c>
      <c r="D298" s="100">
        <v>2</v>
      </c>
      <c r="E298" s="100">
        <v>1</v>
      </c>
      <c r="F298" s="100" t="str">
        <f t="shared" si="13"/>
        <v>3121</v>
      </c>
      <c r="G298" s="100">
        <v>2</v>
      </c>
    </row>
    <row r="299" spans="1:7">
      <c r="A299" s="100">
        <v>102</v>
      </c>
      <c r="B299" s="100">
        <v>3</v>
      </c>
      <c r="C299" s="100">
        <v>1</v>
      </c>
      <c r="D299" s="100">
        <v>2</v>
      </c>
      <c r="E299" s="100">
        <v>2</v>
      </c>
      <c r="F299" s="100" t="str">
        <f t="shared" si="13"/>
        <v>3122</v>
      </c>
      <c r="G299" s="100">
        <v>3</v>
      </c>
    </row>
    <row r="300" spans="1:7">
      <c r="A300" s="100">
        <v>103</v>
      </c>
      <c r="B300" s="100">
        <v>3</v>
      </c>
      <c r="C300" s="100">
        <v>1</v>
      </c>
      <c r="D300" s="100">
        <v>2</v>
      </c>
      <c r="E300" s="100">
        <v>3</v>
      </c>
      <c r="F300" s="100" t="str">
        <f t="shared" si="13"/>
        <v>3123</v>
      </c>
      <c r="G300" s="100">
        <v>3</v>
      </c>
    </row>
    <row r="301" spans="1:7">
      <c r="A301" s="100">
        <v>104</v>
      </c>
      <c r="B301" s="100">
        <v>3</v>
      </c>
      <c r="C301" s="100">
        <v>1</v>
      </c>
      <c r="D301" s="100">
        <v>2</v>
      </c>
      <c r="E301" s="100">
        <v>4</v>
      </c>
      <c r="F301" s="100" t="str">
        <f t="shared" si="13"/>
        <v>3124</v>
      </c>
      <c r="G301" s="100">
        <v>3</v>
      </c>
    </row>
    <row r="302" spans="1:7">
      <c r="A302" s="100">
        <v>105</v>
      </c>
      <c r="B302" s="100">
        <v>3</v>
      </c>
      <c r="C302" s="100">
        <v>1</v>
      </c>
      <c r="D302" s="100">
        <v>3</v>
      </c>
      <c r="E302" s="100">
        <v>1</v>
      </c>
      <c r="F302" s="100" t="str">
        <f t="shared" si="13"/>
        <v>3131</v>
      </c>
      <c r="G302" s="100">
        <v>2</v>
      </c>
    </row>
    <row r="303" spans="1:7">
      <c r="A303" s="100">
        <v>106</v>
      </c>
      <c r="B303" s="100">
        <v>3</v>
      </c>
      <c r="C303" s="100">
        <v>1</v>
      </c>
      <c r="D303" s="100">
        <v>3</v>
      </c>
      <c r="E303" s="100">
        <v>2</v>
      </c>
      <c r="F303" s="100" t="str">
        <f t="shared" si="13"/>
        <v>3132</v>
      </c>
      <c r="G303" s="100">
        <v>3</v>
      </c>
    </row>
    <row r="304" spans="1:7">
      <c r="A304" s="100">
        <v>107</v>
      </c>
      <c r="B304" s="100">
        <v>3</v>
      </c>
      <c r="C304" s="100">
        <v>1</v>
      </c>
      <c r="D304" s="100">
        <v>3</v>
      </c>
      <c r="E304" s="100">
        <v>3</v>
      </c>
      <c r="F304" s="100" t="str">
        <f t="shared" si="13"/>
        <v>3133</v>
      </c>
      <c r="G304" s="100">
        <v>3</v>
      </c>
    </row>
    <row r="305" spans="1:7">
      <c r="A305" s="100">
        <v>108</v>
      </c>
      <c r="B305" s="100">
        <v>3</v>
      </c>
      <c r="C305" s="100">
        <v>1</v>
      </c>
      <c r="D305" s="100">
        <v>3</v>
      </c>
      <c r="E305" s="100">
        <v>4</v>
      </c>
      <c r="F305" s="100" t="str">
        <f t="shared" si="13"/>
        <v>3134</v>
      </c>
      <c r="G305" s="100">
        <v>4</v>
      </c>
    </row>
    <row r="306" spans="1:7">
      <c r="A306" s="100">
        <v>109</v>
      </c>
      <c r="B306" s="100">
        <v>3</v>
      </c>
      <c r="C306" s="100">
        <v>2</v>
      </c>
      <c r="D306" s="100">
        <v>1</v>
      </c>
      <c r="E306" s="100">
        <v>1</v>
      </c>
      <c r="F306" s="100" t="str">
        <f t="shared" si="13"/>
        <v>3211</v>
      </c>
      <c r="G306" s="100">
        <v>1</v>
      </c>
    </row>
    <row r="307" spans="1:7">
      <c r="A307" s="100">
        <v>110</v>
      </c>
      <c r="B307" s="100">
        <v>3</v>
      </c>
      <c r="C307" s="100">
        <v>2</v>
      </c>
      <c r="D307" s="100">
        <v>1</v>
      </c>
      <c r="E307" s="100">
        <v>2</v>
      </c>
      <c r="F307" s="100" t="str">
        <f t="shared" si="13"/>
        <v>3212</v>
      </c>
      <c r="G307" s="100">
        <v>3</v>
      </c>
    </row>
    <row r="308" spans="1:7">
      <c r="A308" s="100">
        <v>111</v>
      </c>
      <c r="B308" s="100">
        <v>3</v>
      </c>
      <c r="C308" s="100">
        <v>2</v>
      </c>
      <c r="D308" s="100">
        <v>1</v>
      </c>
      <c r="E308" s="100">
        <v>3</v>
      </c>
      <c r="F308" s="100" t="str">
        <f t="shared" si="13"/>
        <v>3213</v>
      </c>
      <c r="G308" s="100">
        <v>3</v>
      </c>
    </row>
    <row r="309" spans="1:7">
      <c r="A309" s="100">
        <v>112</v>
      </c>
      <c r="B309" s="100">
        <v>3</v>
      </c>
      <c r="C309" s="100">
        <v>2</v>
      </c>
      <c r="D309" s="100">
        <v>1</v>
      </c>
      <c r="E309" s="100">
        <v>4</v>
      </c>
      <c r="F309" s="100" t="str">
        <f t="shared" si="13"/>
        <v>3214</v>
      </c>
      <c r="G309" s="100">
        <v>3</v>
      </c>
    </row>
    <row r="310" spans="1:7">
      <c r="A310" s="100">
        <v>113</v>
      </c>
      <c r="B310" s="100">
        <v>3</v>
      </c>
      <c r="C310" s="100">
        <v>2</v>
      </c>
      <c r="D310" s="100">
        <v>2</v>
      </c>
      <c r="E310" s="100">
        <v>1</v>
      </c>
      <c r="F310" s="100" t="str">
        <f t="shared" si="13"/>
        <v>3221</v>
      </c>
      <c r="G310" s="100">
        <v>2</v>
      </c>
    </row>
    <row r="311" spans="1:7">
      <c r="A311" s="100">
        <v>114</v>
      </c>
      <c r="B311" s="100">
        <v>3</v>
      </c>
      <c r="C311" s="100">
        <v>2</v>
      </c>
      <c r="D311" s="100">
        <v>2</v>
      </c>
      <c r="E311" s="100">
        <v>2</v>
      </c>
      <c r="F311" s="100" t="str">
        <f t="shared" si="13"/>
        <v>3222</v>
      </c>
      <c r="G311" s="100">
        <v>3</v>
      </c>
    </row>
    <row r="312" spans="1:7">
      <c r="A312" s="100">
        <v>115</v>
      </c>
      <c r="B312" s="100">
        <v>3</v>
      </c>
      <c r="C312" s="100">
        <v>2</v>
      </c>
      <c r="D312" s="100">
        <v>2</v>
      </c>
      <c r="E312" s="100">
        <v>3</v>
      </c>
      <c r="F312" s="100" t="str">
        <f t="shared" si="13"/>
        <v>3223</v>
      </c>
      <c r="G312" s="100">
        <v>3</v>
      </c>
    </row>
    <row r="313" spans="1:7">
      <c r="A313" s="100">
        <v>116</v>
      </c>
      <c r="B313" s="100">
        <v>3</v>
      </c>
      <c r="C313" s="100">
        <v>2</v>
      </c>
      <c r="D313" s="100">
        <v>2</v>
      </c>
      <c r="E313" s="100">
        <v>4</v>
      </c>
      <c r="F313" s="100" t="str">
        <f t="shared" si="13"/>
        <v>3224</v>
      </c>
      <c r="G313" s="100">
        <v>4</v>
      </c>
    </row>
    <row r="314" spans="1:7">
      <c r="A314" s="100">
        <v>117</v>
      </c>
      <c r="B314" s="100">
        <v>3</v>
      </c>
      <c r="C314" s="100">
        <v>2</v>
      </c>
      <c r="D314" s="100">
        <v>3</v>
      </c>
      <c r="E314" s="100">
        <v>1</v>
      </c>
      <c r="F314" s="100" t="str">
        <f t="shared" si="13"/>
        <v>3231</v>
      </c>
      <c r="G314" s="100">
        <v>2</v>
      </c>
    </row>
    <row r="315" spans="1:7">
      <c r="A315" s="100">
        <v>118</v>
      </c>
      <c r="B315" s="100">
        <v>3</v>
      </c>
      <c r="C315" s="100">
        <v>2</v>
      </c>
      <c r="D315" s="100">
        <v>3</v>
      </c>
      <c r="E315" s="100">
        <v>2</v>
      </c>
      <c r="F315" s="100" t="str">
        <f t="shared" si="13"/>
        <v>3232</v>
      </c>
      <c r="G315" s="100">
        <v>3</v>
      </c>
    </row>
    <row r="316" spans="1:7">
      <c r="A316" s="100">
        <v>119</v>
      </c>
      <c r="B316" s="100">
        <v>3</v>
      </c>
      <c r="C316" s="100">
        <v>2</v>
      </c>
      <c r="D316" s="100">
        <v>3</v>
      </c>
      <c r="E316" s="100">
        <v>3</v>
      </c>
      <c r="F316" s="100" t="str">
        <f t="shared" si="13"/>
        <v>3233</v>
      </c>
      <c r="G316" s="100">
        <v>4</v>
      </c>
    </row>
    <row r="317" spans="1:7">
      <c r="A317" s="100">
        <v>120</v>
      </c>
      <c r="B317" s="100">
        <v>3</v>
      </c>
      <c r="C317" s="100">
        <v>2</v>
      </c>
      <c r="D317" s="100">
        <v>3</v>
      </c>
      <c r="E317" s="100">
        <v>4</v>
      </c>
      <c r="F317" s="100" t="str">
        <f t="shared" si="13"/>
        <v>3234</v>
      </c>
      <c r="G317" s="100">
        <v>5</v>
      </c>
    </row>
    <row r="318" spans="1:7">
      <c r="A318" s="100">
        <v>121</v>
      </c>
      <c r="B318" s="100">
        <v>3</v>
      </c>
      <c r="C318" s="100">
        <v>3</v>
      </c>
      <c r="D318" s="100">
        <v>1</v>
      </c>
      <c r="E318" s="100">
        <v>1</v>
      </c>
      <c r="F318" s="100" t="str">
        <f t="shared" si="13"/>
        <v>3311</v>
      </c>
      <c r="G318" s="100">
        <v>2</v>
      </c>
    </row>
    <row r="319" spans="1:7">
      <c r="A319" s="100">
        <v>122</v>
      </c>
      <c r="B319" s="100">
        <v>3</v>
      </c>
      <c r="C319" s="100">
        <v>3</v>
      </c>
      <c r="D319" s="100">
        <v>1</v>
      </c>
      <c r="E319" s="100">
        <v>2</v>
      </c>
      <c r="F319" s="100" t="str">
        <f t="shared" si="13"/>
        <v>3312</v>
      </c>
      <c r="G319" s="100">
        <v>3</v>
      </c>
    </row>
    <row r="320" spans="1:7">
      <c r="A320" s="100">
        <v>123</v>
      </c>
      <c r="B320" s="100">
        <v>3</v>
      </c>
      <c r="C320" s="100">
        <v>3</v>
      </c>
      <c r="D320" s="100">
        <v>1</v>
      </c>
      <c r="E320" s="100">
        <v>3</v>
      </c>
      <c r="F320" s="100" t="str">
        <f t="shared" si="13"/>
        <v>3313</v>
      </c>
      <c r="G320" s="100">
        <v>3</v>
      </c>
    </row>
    <row r="321" spans="1:7">
      <c r="A321" s="100">
        <v>124</v>
      </c>
      <c r="B321" s="100">
        <v>3</v>
      </c>
      <c r="C321" s="100">
        <v>3</v>
      </c>
      <c r="D321" s="100">
        <v>1</v>
      </c>
      <c r="E321" s="100">
        <v>4</v>
      </c>
      <c r="F321" s="100" t="str">
        <f t="shared" si="13"/>
        <v>3314</v>
      </c>
      <c r="G321" s="100">
        <v>4</v>
      </c>
    </row>
    <row r="322" spans="1:7">
      <c r="A322" s="100">
        <v>125</v>
      </c>
      <c r="B322" s="100">
        <v>3</v>
      </c>
      <c r="C322" s="100">
        <v>3</v>
      </c>
      <c r="D322" s="100">
        <v>2</v>
      </c>
      <c r="E322" s="100">
        <v>1</v>
      </c>
      <c r="F322" s="100" t="str">
        <f t="shared" si="13"/>
        <v>3321</v>
      </c>
      <c r="G322" s="100">
        <v>2</v>
      </c>
    </row>
    <row r="323" spans="1:7">
      <c r="A323" s="100">
        <v>126</v>
      </c>
      <c r="B323" s="100">
        <v>3</v>
      </c>
      <c r="C323" s="100">
        <v>3</v>
      </c>
      <c r="D323" s="100">
        <v>2</v>
      </c>
      <c r="E323" s="100">
        <v>2</v>
      </c>
      <c r="F323" s="100" t="str">
        <f t="shared" si="13"/>
        <v>3322</v>
      </c>
      <c r="G323" s="100">
        <v>3</v>
      </c>
    </row>
    <row r="324" spans="1:7">
      <c r="A324" s="100">
        <v>127</v>
      </c>
      <c r="B324" s="100">
        <v>3</v>
      </c>
      <c r="C324" s="100">
        <v>3</v>
      </c>
      <c r="D324" s="100">
        <v>2</v>
      </c>
      <c r="E324" s="100">
        <v>3</v>
      </c>
      <c r="F324" s="100" t="str">
        <f t="shared" si="13"/>
        <v>3323</v>
      </c>
      <c r="G324" s="100">
        <v>4</v>
      </c>
    </row>
    <row r="325" spans="1:7">
      <c r="A325" s="100">
        <v>128</v>
      </c>
      <c r="B325" s="100">
        <v>3</v>
      </c>
      <c r="C325" s="100">
        <v>3</v>
      </c>
      <c r="D325" s="100">
        <v>2</v>
      </c>
      <c r="E325" s="100">
        <v>4</v>
      </c>
      <c r="F325" s="100" t="str">
        <f t="shared" si="13"/>
        <v>3324</v>
      </c>
      <c r="G325" s="100">
        <v>5</v>
      </c>
    </row>
    <row r="326" spans="1:7">
      <c r="A326" s="100">
        <v>129</v>
      </c>
      <c r="B326" s="100">
        <v>3</v>
      </c>
      <c r="C326" s="100">
        <v>3</v>
      </c>
      <c r="D326" s="100">
        <v>3</v>
      </c>
      <c r="E326" s="100">
        <v>1</v>
      </c>
      <c r="F326" s="100" t="str">
        <f t="shared" ref="F326:F341" si="14">CONCATENATE(B326,C326,D326,E326)</f>
        <v>3331</v>
      </c>
      <c r="G326" s="100">
        <v>2</v>
      </c>
    </row>
    <row r="327" spans="1:7">
      <c r="A327" s="100">
        <v>130</v>
      </c>
      <c r="B327" s="100">
        <v>3</v>
      </c>
      <c r="C327" s="100">
        <v>3</v>
      </c>
      <c r="D327" s="100">
        <v>3</v>
      </c>
      <c r="E327" s="100">
        <v>2</v>
      </c>
      <c r="F327" s="100" t="str">
        <f t="shared" si="14"/>
        <v>3332</v>
      </c>
      <c r="G327" s="100">
        <v>4</v>
      </c>
    </row>
    <row r="328" spans="1:7">
      <c r="A328" s="100">
        <v>131</v>
      </c>
      <c r="B328" s="100">
        <v>3</v>
      </c>
      <c r="C328" s="100">
        <v>3</v>
      </c>
      <c r="D328" s="100">
        <v>3</v>
      </c>
      <c r="E328" s="100">
        <v>3</v>
      </c>
      <c r="F328" s="100" t="str">
        <f t="shared" si="14"/>
        <v>3333</v>
      </c>
      <c r="G328" s="100">
        <v>5</v>
      </c>
    </row>
    <row r="329" spans="1:7">
      <c r="A329" s="100">
        <v>132</v>
      </c>
      <c r="B329" s="100">
        <v>3</v>
      </c>
      <c r="C329" s="100">
        <v>3</v>
      </c>
      <c r="D329" s="100">
        <v>3</v>
      </c>
      <c r="E329" s="100">
        <v>4</v>
      </c>
      <c r="F329" s="100" t="str">
        <f t="shared" si="14"/>
        <v>3334</v>
      </c>
      <c r="G329" s="100">
        <v>5</v>
      </c>
    </row>
    <row r="330" spans="1:7">
      <c r="A330" s="100">
        <v>133</v>
      </c>
      <c r="B330" s="100">
        <v>3</v>
      </c>
      <c r="C330" s="100">
        <v>4</v>
      </c>
      <c r="D330" s="100">
        <v>1</v>
      </c>
      <c r="E330" s="100">
        <v>1</v>
      </c>
      <c r="F330" s="100" t="str">
        <f t="shared" si="14"/>
        <v>3411</v>
      </c>
      <c r="G330" s="100">
        <v>2</v>
      </c>
    </row>
    <row r="331" spans="1:7">
      <c r="A331" s="100">
        <v>134</v>
      </c>
      <c r="B331" s="100">
        <v>3</v>
      </c>
      <c r="C331" s="100">
        <v>4</v>
      </c>
      <c r="D331" s="100">
        <v>1</v>
      </c>
      <c r="E331" s="100">
        <v>2</v>
      </c>
      <c r="F331" s="100" t="str">
        <f t="shared" si="14"/>
        <v>3412</v>
      </c>
      <c r="G331" s="100">
        <v>3</v>
      </c>
    </row>
    <row r="332" spans="1:7">
      <c r="A332" s="100">
        <v>135</v>
      </c>
      <c r="B332" s="100">
        <v>3</v>
      </c>
      <c r="C332" s="100">
        <v>4</v>
      </c>
      <c r="D332" s="100">
        <v>1</v>
      </c>
      <c r="E332" s="100">
        <v>3</v>
      </c>
      <c r="F332" s="100" t="str">
        <f t="shared" si="14"/>
        <v>3413</v>
      </c>
      <c r="G332" s="100">
        <v>4</v>
      </c>
    </row>
    <row r="333" spans="1:7">
      <c r="A333" s="100">
        <v>136</v>
      </c>
      <c r="B333" s="100">
        <v>3</v>
      </c>
      <c r="C333" s="100">
        <v>4</v>
      </c>
      <c r="D333" s="100">
        <v>1</v>
      </c>
      <c r="E333" s="100">
        <v>4</v>
      </c>
      <c r="F333" s="100" t="str">
        <f t="shared" si="14"/>
        <v>3414</v>
      </c>
      <c r="G333" s="100">
        <v>4</v>
      </c>
    </row>
    <row r="334" spans="1:7">
      <c r="A334" s="100">
        <v>137</v>
      </c>
      <c r="B334" s="100">
        <v>3</v>
      </c>
      <c r="C334" s="100">
        <v>4</v>
      </c>
      <c r="D334" s="100">
        <v>2</v>
      </c>
      <c r="E334" s="100">
        <v>1</v>
      </c>
      <c r="F334" s="100" t="str">
        <f t="shared" si="14"/>
        <v>3421</v>
      </c>
      <c r="G334" s="100">
        <v>2</v>
      </c>
    </row>
    <row r="335" spans="1:7">
      <c r="A335" s="100">
        <v>138</v>
      </c>
      <c r="B335" s="100">
        <v>3</v>
      </c>
      <c r="C335" s="100">
        <v>4</v>
      </c>
      <c r="D335" s="100">
        <v>2</v>
      </c>
      <c r="E335" s="100">
        <v>2</v>
      </c>
      <c r="F335" s="100" t="str">
        <f t="shared" si="14"/>
        <v>3422</v>
      </c>
      <c r="G335" s="100">
        <v>4</v>
      </c>
    </row>
    <row r="336" spans="1:7">
      <c r="A336" s="100">
        <v>139</v>
      </c>
      <c r="B336" s="100">
        <v>3</v>
      </c>
      <c r="C336" s="100">
        <v>4</v>
      </c>
      <c r="D336" s="100">
        <v>2</v>
      </c>
      <c r="E336" s="100">
        <v>3</v>
      </c>
      <c r="F336" s="100" t="str">
        <f t="shared" si="14"/>
        <v>3423</v>
      </c>
      <c r="G336" s="100">
        <v>5</v>
      </c>
    </row>
    <row r="337" spans="1:7">
      <c r="A337" s="100">
        <v>140</v>
      </c>
      <c r="B337" s="100">
        <v>3</v>
      </c>
      <c r="C337" s="100">
        <v>4</v>
      </c>
      <c r="D337" s="100">
        <v>2</v>
      </c>
      <c r="E337" s="100">
        <v>4</v>
      </c>
      <c r="F337" s="100" t="str">
        <f t="shared" si="14"/>
        <v>3424</v>
      </c>
      <c r="G337" s="100">
        <v>5</v>
      </c>
    </row>
    <row r="338" spans="1:7">
      <c r="A338" s="100">
        <v>141</v>
      </c>
      <c r="B338" s="100">
        <v>3</v>
      </c>
      <c r="C338" s="100">
        <v>4</v>
      </c>
      <c r="D338" s="100">
        <v>3</v>
      </c>
      <c r="E338" s="100">
        <v>1</v>
      </c>
      <c r="F338" s="100" t="str">
        <f t="shared" si="14"/>
        <v>3431</v>
      </c>
      <c r="G338" s="100">
        <v>2</v>
      </c>
    </row>
    <row r="339" spans="1:7">
      <c r="A339" s="100">
        <v>142</v>
      </c>
      <c r="B339" s="100">
        <v>3</v>
      </c>
      <c r="C339" s="100">
        <v>4</v>
      </c>
      <c r="D339" s="100">
        <v>3</v>
      </c>
      <c r="E339" s="100">
        <v>2</v>
      </c>
      <c r="F339" s="100" t="str">
        <f t="shared" si="14"/>
        <v>3432</v>
      </c>
      <c r="G339" s="100">
        <v>4</v>
      </c>
    </row>
    <row r="340" spans="1:7">
      <c r="A340" s="100">
        <v>143</v>
      </c>
      <c r="B340" s="100">
        <v>3</v>
      </c>
      <c r="C340" s="100">
        <v>4</v>
      </c>
      <c r="D340" s="100">
        <v>3</v>
      </c>
      <c r="E340" s="100">
        <v>3</v>
      </c>
      <c r="F340" s="100" t="str">
        <f t="shared" si="14"/>
        <v>3433</v>
      </c>
      <c r="G340" s="100">
        <v>5</v>
      </c>
    </row>
    <row r="341" spans="1:7">
      <c r="A341" s="100">
        <v>144</v>
      </c>
      <c r="B341" s="100">
        <v>3</v>
      </c>
      <c r="C341" s="100">
        <v>4</v>
      </c>
      <c r="D341" s="100">
        <v>3</v>
      </c>
      <c r="E341" s="100">
        <v>4</v>
      </c>
      <c r="F341" s="100" t="str">
        <f t="shared" si="14"/>
        <v>3434</v>
      </c>
      <c r="G341" s="100">
        <v>5</v>
      </c>
    </row>
    <row r="343" spans="1:7">
      <c r="A343" s="99" t="s">
        <v>360</v>
      </c>
      <c r="B343" s="99" t="s">
        <v>6</v>
      </c>
      <c r="C343" s="99" t="s">
        <v>426</v>
      </c>
      <c r="D343" s="99" t="s">
        <v>361</v>
      </c>
      <c r="E343" s="99" t="s">
        <v>359</v>
      </c>
    </row>
    <row r="344" spans="1:7">
      <c r="A344" s="100">
        <v>1</v>
      </c>
      <c r="B344" s="100">
        <v>1</v>
      </c>
      <c r="C344" s="100">
        <v>1</v>
      </c>
      <c r="D344" s="100" t="str">
        <f>CONCATENATE(B344,C344)</f>
        <v>11</v>
      </c>
      <c r="E344" s="100">
        <v>1</v>
      </c>
      <c r="G344" s="106"/>
    </row>
    <row r="345" spans="1:7">
      <c r="A345" s="100">
        <v>2</v>
      </c>
      <c r="B345" s="100">
        <v>1</v>
      </c>
      <c r="C345" s="100">
        <v>2</v>
      </c>
      <c r="D345" s="100" t="str">
        <f t="shared" ref="D345:D359" si="15">CONCATENATE(B345,C345)</f>
        <v>12</v>
      </c>
      <c r="E345" s="100">
        <v>1</v>
      </c>
      <c r="G345" s="106"/>
    </row>
    <row r="346" spans="1:7">
      <c r="A346" s="100">
        <v>3</v>
      </c>
      <c r="B346" s="100">
        <v>1</v>
      </c>
      <c r="C346" s="100">
        <v>3</v>
      </c>
      <c r="D346" s="100" t="str">
        <f t="shared" si="15"/>
        <v>13</v>
      </c>
      <c r="E346" s="100">
        <v>1</v>
      </c>
      <c r="G346" s="106"/>
    </row>
    <row r="347" spans="1:7">
      <c r="A347" s="100">
        <v>4</v>
      </c>
      <c r="B347" s="100">
        <v>1</v>
      </c>
      <c r="C347" s="100">
        <v>4</v>
      </c>
      <c r="D347" s="100" t="str">
        <f t="shared" si="15"/>
        <v>14</v>
      </c>
      <c r="E347" s="100">
        <v>1</v>
      </c>
      <c r="G347" s="106"/>
    </row>
    <row r="348" spans="1:7">
      <c r="A348" s="100">
        <v>5</v>
      </c>
      <c r="B348" s="100">
        <v>2</v>
      </c>
      <c r="C348" s="100">
        <v>1</v>
      </c>
      <c r="D348" s="100" t="str">
        <f t="shared" si="15"/>
        <v>21</v>
      </c>
      <c r="E348" s="100">
        <v>2</v>
      </c>
    </row>
    <row r="349" spans="1:7">
      <c r="A349" s="100">
        <v>6</v>
      </c>
      <c r="B349" s="100">
        <v>2</v>
      </c>
      <c r="C349" s="100">
        <v>2</v>
      </c>
      <c r="D349" s="100" t="str">
        <f t="shared" si="15"/>
        <v>22</v>
      </c>
      <c r="E349" s="100">
        <v>2</v>
      </c>
    </row>
    <row r="350" spans="1:7">
      <c r="A350" s="100">
        <v>7</v>
      </c>
      <c r="B350" s="100">
        <v>2</v>
      </c>
      <c r="C350" s="100">
        <v>3</v>
      </c>
      <c r="D350" s="100" t="str">
        <f t="shared" si="15"/>
        <v>23</v>
      </c>
      <c r="E350" s="100">
        <v>2</v>
      </c>
    </row>
    <row r="351" spans="1:7">
      <c r="A351" s="100">
        <v>8</v>
      </c>
      <c r="B351" s="100">
        <v>2</v>
      </c>
      <c r="C351" s="100">
        <v>4</v>
      </c>
      <c r="D351" s="100" t="str">
        <f t="shared" si="15"/>
        <v>24</v>
      </c>
      <c r="E351" s="100">
        <v>1</v>
      </c>
    </row>
    <row r="352" spans="1:7">
      <c r="A352" s="100">
        <v>9</v>
      </c>
      <c r="B352" s="100">
        <v>3</v>
      </c>
      <c r="C352" s="100">
        <v>1</v>
      </c>
      <c r="D352" s="100" t="str">
        <f t="shared" si="15"/>
        <v>31</v>
      </c>
      <c r="E352" s="100">
        <v>3</v>
      </c>
    </row>
    <row r="353" spans="1:6">
      <c r="A353" s="100">
        <v>10</v>
      </c>
      <c r="B353" s="100">
        <v>3</v>
      </c>
      <c r="C353" s="100">
        <v>2</v>
      </c>
      <c r="D353" s="100" t="str">
        <f t="shared" si="15"/>
        <v>32</v>
      </c>
      <c r="E353" s="100">
        <v>3</v>
      </c>
    </row>
    <row r="354" spans="1:6">
      <c r="A354" s="100">
        <v>11</v>
      </c>
      <c r="B354" s="100">
        <v>3</v>
      </c>
      <c r="C354" s="100">
        <v>3</v>
      </c>
      <c r="D354" s="100" t="str">
        <f t="shared" si="15"/>
        <v>33</v>
      </c>
      <c r="E354" s="100">
        <v>3</v>
      </c>
    </row>
    <row r="355" spans="1:6">
      <c r="A355" s="100">
        <v>12</v>
      </c>
      <c r="B355" s="100">
        <v>3</v>
      </c>
      <c r="C355" s="100">
        <v>4</v>
      </c>
      <c r="D355" s="100" t="str">
        <f t="shared" si="15"/>
        <v>34</v>
      </c>
      <c r="E355" s="100">
        <v>2</v>
      </c>
    </row>
    <row r="356" spans="1:6">
      <c r="A356" s="100">
        <v>13</v>
      </c>
      <c r="B356" s="100">
        <v>4</v>
      </c>
      <c r="C356" s="100">
        <v>1</v>
      </c>
      <c r="D356" s="100" t="str">
        <f t="shared" si="15"/>
        <v>41</v>
      </c>
      <c r="E356" s="100">
        <v>4</v>
      </c>
    </row>
    <row r="357" spans="1:6">
      <c r="A357" s="100">
        <v>14</v>
      </c>
      <c r="B357" s="100">
        <v>4</v>
      </c>
      <c r="C357" s="100">
        <v>2</v>
      </c>
      <c r="D357" s="100" t="str">
        <f t="shared" si="15"/>
        <v>42</v>
      </c>
      <c r="E357" s="100">
        <v>4</v>
      </c>
    </row>
    <row r="358" spans="1:6">
      <c r="A358" s="100">
        <v>15</v>
      </c>
      <c r="B358" s="100">
        <v>4</v>
      </c>
      <c r="C358" s="100">
        <v>3</v>
      </c>
      <c r="D358" s="100" t="str">
        <f t="shared" si="15"/>
        <v>43</v>
      </c>
      <c r="E358" s="100">
        <v>4</v>
      </c>
    </row>
    <row r="359" spans="1:6">
      <c r="A359" s="100">
        <v>16</v>
      </c>
      <c r="B359" s="100">
        <v>4</v>
      </c>
      <c r="C359" s="100">
        <v>4</v>
      </c>
      <c r="D359" s="100" t="str">
        <f t="shared" si="15"/>
        <v>44</v>
      </c>
      <c r="E359" s="100">
        <v>3</v>
      </c>
    </row>
    <row r="361" spans="1:6">
      <c r="A361" s="99" t="s">
        <v>430</v>
      </c>
      <c r="B361" s="99" t="s">
        <v>373</v>
      </c>
      <c r="C361" s="99" t="s">
        <v>17</v>
      </c>
      <c r="D361" s="99" t="s">
        <v>431</v>
      </c>
      <c r="E361" s="99" t="s">
        <v>361</v>
      </c>
      <c r="F361" s="99" t="s">
        <v>72</v>
      </c>
    </row>
    <row r="362" spans="1:6">
      <c r="A362" s="100">
        <v>1</v>
      </c>
      <c r="B362" s="100">
        <v>1</v>
      </c>
      <c r="C362" s="100">
        <v>1</v>
      </c>
      <c r="D362" s="100">
        <v>1</v>
      </c>
      <c r="E362" s="100" t="str">
        <f>CONCATENATE(B362,C362,D362)</f>
        <v>111</v>
      </c>
      <c r="F362" s="100">
        <v>1</v>
      </c>
    </row>
    <row r="363" spans="1:6">
      <c r="A363" s="100">
        <v>2</v>
      </c>
      <c r="B363" s="100">
        <v>1</v>
      </c>
      <c r="C363" s="100">
        <v>1</v>
      </c>
      <c r="D363" s="100">
        <v>2</v>
      </c>
      <c r="E363" s="100" t="str">
        <f t="shared" ref="E363:E401" si="16">CONCATENATE(B363,C363,D363)</f>
        <v>112</v>
      </c>
      <c r="F363" s="100">
        <v>2</v>
      </c>
    </row>
    <row r="364" spans="1:6">
      <c r="A364" s="100">
        <v>3</v>
      </c>
      <c r="B364" s="100">
        <v>1</v>
      </c>
      <c r="C364" s="100">
        <v>2</v>
      </c>
      <c r="D364" s="100">
        <v>1</v>
      </c>
      <c r="E364" s="100" t="str">
        <f t="shared" si="16"/>
        <v>121</v>
      </c>
      <c r="F364" s="100">
        <v>2</v>
      </c>
    </row>
    <row r="365" spans="1:6">
      <c r="A365" s="100">
        <v>4</v>
      </c>
      <c r="B365" s="100">
        <v>1</v>
      </c>
      <c r="C365" s="100">
        <v>2</v>
      </c>
      <c r="D365" s="100">
        <v>2</v>
      </c>
      <c r="E365" s="100" t="str">
        <f t="shared" si="16"/>
        <v>122</v>
      </c>
      <c r="F365" s="100">
        <v>2</v>
      </c>
    </row>
    <row r="366" spans="1:6">
      <c r="A366" s="100">
        <v>5</v>
      </c>
      <c r="B366" s="100">
        <v>1</v>
      </c>
      <c r="C366" s="100">
        <v>3</v>
      </c>
      <c r="D366" s="100">
        <v>1</v>
      </c>
      <c r="E366" s="100" t="str">
        <f t="shared" si="16"/>
        <v>131</v>
      </c>
      <c r="F366" s="100">
        <v>2</v>
      </c>
    </row>
    <row r="367" spans="1:6">
      <c r="A367" s="100">
        <v>6</v>
      </c>
      <c r="B367" s="100">
        <v>1</v>
      </c>
      <c r="C367" s="100">
        <v>3</v>
      </c>
      <c r="D367" s="100">
        <v>2</v>
      </c>
      <c r="E367" s="100" t="str">
        <f t="shared" si="16"/>
        <v>132</v>
      </c>
      <c r="F367" s="100">
        <v>3</v>
      </c>
    </row>
    <row r="368" spans="1:6">
      <c r="A368" s="100">
        <v>7</v>
      </c>
      <c r="B368" s="100">
        <v>1</v>
      </c>
      <c r="C368" s="100">
        <v>4</v>
      </c>
      <c r="D368" s="100">
        <v>1</v>
      </c>
      <c r="E368" s="100" t="str">
        <f t="shared" si="16"/>
        <v>141</v>
      </c>
      <c r="F368" s="100">
        <v>3</v>
      </c>
    </row>
    <row r="369" spans="1:6">
      <c r="A369" s="100">
        <v>8</v>
      </c>
      <c r="B369" s="100">
        <v>1</v>
      </c>
      <c r="C369" s="100">
        <v>4</v>
      </c>
      <c r="D369" s="100">
        <v>2</v>
      </c>
      <c r="E369" s="100" t="str">
        <f t="shared" si="16"/>
        <v>142</v>
      </c>
      <c r="F369" s="100">
        <v>4</v>
      </c>
    </row>
    <row r="370" spans="1:6">
      <c r="A370" s="100">
        <v>9</v>
      </c>
      <c r="B370" s="100">
        <v>1</v>
      </c>
      <c r="C370" s="100">
        <v>5</v>
      </c>
      <c r="D370" s="100">
        <v>1</v>
      </c>
      <c r="E370" s="100" t="str">
        <f t="shared" si="16"/>
        <v>151</v>
      </c>
      <c r="F370" s="100">
        <v>4</v>
      </c>
    </row>
    <row r="371" spans="1:6">
      <c r="A371" s="100">
        <v>10</v>
      </c>
      <c r="B371" s="100">
        <v>1</v>
      </c>
      <c r="C371" s="100">
        <v>5</v>
      </c>
      <c r="D371" s="100">
        <v>2</v>
      </c>
      <c r="E371" s="100" t="str">
        <f t="shared" si="16"/>
        <v>152</v>
      </c>
      <c r="F371" s="100">
        <v>5</v>
      </c>
    </row>
    <row r="372" spans="1:6">
      <c r="A372" s="100">
        <v>11</v>
      </c>
      <c r="B372" s="100">
        <v>2</v>
      </c>
      <c r="C372" s="100">
        <v>1</v>
      </c>
      <c r="D372" s="100">
        <v>1</v>
      </c>
      <c r="E372" s="100" t="str">
        <f t="shared" si="16"/>
        <v>211</v>
      </c>
      <c r="F372" s="100">
        <v>2</v>
      </c>
    </row>
    <row r="373" spans="1:6">
      <c r="A373" s="100">
        <v>12</v>
      </c>
      <c r="B373" s="100">
        <v>2</v>
      </c>
      <c r="C373" s="100">
        <v>1</v>
      </c>
      <c r="D373" s="100">
        <v>2</v>
      </c>
      <c r="E373" s="100" t="str">
        <f t="shared" si="16"/>
        <v>212</v>
      </c>
      <c r="F373" s="100">
        <v>2</v>
      </c>
    </row>
    <row r="374" spans="1:6">
      <c r="A374" s="100">
        <v>13</v>
      </c>
      <c r="B374" s="100">
        <v>2</v>
      </c>
      <c r="C374" s="100">
        <v>2</v>
      </c>
      <c r="D374" s="100">
        <v>1</v>
      </c>
      <c r="E374" s="100" t="str">
        <f t="shared" si="16"/>
        <v>221</v>
      </c>
      <c r="F374" s="100">
        <v>2</v>
      </c>
    </row>
    <row r="375" spans="1:6">
      <c r="A375" s="100">
        <v>14</v>
      </c>
      <c r="B375" s="100">
        <v>2</v>
      </c>
      <c r="C375" s="100">
        <v>2</v>
      </c>
      <c r="D375" s="100">
        <v>2</v>
      </c>
      <c r="E375" s="100" t="str">
        <f t="shared" si="16"/>
        <v>222</v>
      </c>
      <c r="F375" s="100">
        <v>3</v>
      </c>
    </row>
    <row r="376" spans="1:6">
      <c r="A376" s="100">
        <v>15</v>
      </c>
      <c r="B376" s="100">
        <v>2</v>
      </c>
      <c r="C376" s="100">
        <v>3</v>
      </c>
      <c r="D376" s="100">
        <v>1</v>
      </c>
      <c r="E376" s="100" t="str">
        <f t="shared" si="16"/>
        <v>231</v>
      </c>
      <c r="F376" s="100">
        <v>3</v>
      </c>
    </row>
    <row r="377" spans="1:6">
      <c r="A377" s="100">
        <v>16</v>
      </c>
      <c r="B377" s="100">
        <v>2</v>
      </c>
      <c r="C377" s="100">
        <v>3</v>
      </c>
      <c r="D377" s="100">
        <v>2</v>
      </c>
      <c r="E377" s="100" t="str">
        <f t="shared" si="16"/>
        <v>232</v>
      </c>
      <c r="F377" s="100">
        <v>4</v>
      </c>
    </row>
    <row r="378" spans="1:6">
      <c r="A378" s="100">
        <v>17</v>
      </c>
      <c r="B378" s="100">
        <v>2</v>
      </c>
      <c r="C378" s="100">
        <v>4</v>
      </c>
      <c r="D378" s="100">
        <v>1</v>
      </c>
      <c r="E378" s="100" t="str">
        <f t="shared" si="16"/>
        <v>241</v>
      </c>
      <c r="F378" s="100">
        <v>4</v>
      </c>
    </row>
    <row r="379" spans="1:6">
      <c r="A379" s="100">
        <v>18</v>
      </c>
      <c r="B379" s="100">
        <v>2</v>
      </c>
      <c r="C379" s="100">
        <v>4</v>
      </c>
      <c r="D379" s="100">
        <v>2</v>
      </c>
      <c r="E379" s="100" t="str">
        <f t="shared" si="16"/>
        <v>242</v>
      </c>
      <c r="F379" s="100">
        <v>5</v>
      </c>
    </row>
    <row r="380" spans="1:6">
      <c r="A380" s="100">
        <v>19</v>
      </c>
      <c r="B380" s="100">
        <v>2</v>
      </c>
      <c r="C380" s="100">
        <v>5</v>
      </c>
      <c r="D380" s="100">
        <v>1</v>
      </c>
      <c r="E380" s="100" t="str">
        <f t="shared" si="16"/>
        <v>251</v>
      </c>
      <c r="F380" s="100">
        <v>5</v>
      </c>
    </row>
    <row r="381" spans="1:6">
      <c r="A381" s="100">
        <v>20</v>
      </c>
      <c r="B381" s="100">
        <v>2</v>
      </c>
      <c r="C381" s="100">
        <v>5</v>
      </c>
      <c r="D381" s="100">
        <v>2</v>
      </c>
      <c r="E381" s="100" t="str">
        <f t="shared" si="16"/>
        <v>252</v>
      </c>
      <c r="F381" s="100">
        <v>6</v>
      </c>
    </row>
    <row r="382" spans="1:6">
      <c r="A382" s="100">
        <v>21</v>
      </c>
      <c r="B382" s="100">
        <v>3</v>
      </c>
      <c r="C382" s="100">
        <v>1</v>
      </c>
      <c r="D382" s="100">
        <v>1</v>
      </c>
      <c r="E382" s="100" t="str">
        <f t="shared" si="16"/>
        <v>311</v>
      </c>
      <c r="F382" s="100">
        <v>2</v>
      </c>
    </row>
    <row r="383" spans="1:6">
      <c r="A383" s="100">
        <v>22</v>
      </c>
      <c r="B383" s="100">
        <v>3</v>
      </c>
      <c r="C383" s="100">
        <v>1</v>
      </c>
      <c r="D383" s="100">
        <v>2</v>
      </c>
      <c r="E383" s="100" t="str">
        <f t="shared" si="16"/>
        <v>312</v>
      </c>
      <c r="F383" s="100">
        <v>3</v>
      </c>
    </row>
    <row r="384" spans="1:6">
      <c r="A384" s="100">
        <v>23</v>
      </c>
      <c r="B384" s="100">
        <v>3</v>
      </c>
      <c r="C384" s="100">
        <v>2</v>
      </c>
      <c r="D384" s="100">
        <v>1</v>
      </c>
      <c r="E384" s="100" t="str">
        <f t="shared" si="16"/>
        <v>321</v>
      </c>
      <c r="F384" s="100">
        <v>3</v>
      </c>
    </row>
    <row r="385" spans="1:6">
      <c r="A385" s="100">
        <v>24</v>
      </c>
      <c r="B385" s="100">
        <v>3</v>
      </c>
      <c r="C385" s="100">
        <v>2</v>
      </c>
      <c r="D385" s="100">
        <v>2</v>
      </c>
      <c r="E385" s="100" t="str">
        <f t="shared" si="16"/>
        <v>322</v>
      </c>
      <c r="F385" s="100">
        <v>4</v>
      </c>
    </row>
    <row r="386" spans="1:6">
      <c r="A386" s="100">
        <v>25</v>
      </c>
      <c r="B386" s="100">
        <v>3</v>
      </c>
      <c r="C386" s="100">
        <v>3</v>
      </c>
      <c r="D386" s="100">
        <v>1</v>
      </c>
      <c r="E386" s="100" t="str">
        <f t="shared" si="16"/>
        <v>331</v>
      </c>
      <c r="F386" s="100">
        <v>4</v>
      </c>
    </row>
    <row r="387" spans="1:6">
      <c r="A387" s="100">
        <v>26</v>
      </c>
      <c r="B387" s="100">
        <v>3</v>
      </c>
      <c r="C387" s="100">
        <v>3</v>
      </c>
      <c r="D387" s="100">
        <v>2</v>
      </c>
      <c r="E387" s="100" t="str">
        <f t="shared" si="16"/>
        <v>332</v>
      </c>
      <c r="F387" s="100">
        <v>5</v>
      </c>
    </row>
    <row r="388" spans="1:6">
      <c r="A388" s="100">
        <v>27</v>
      </c>
      <c r="B388" s="100">
        <v>3</v>
      </c>
      <c r="C388" s="100">
        <v>4</v>
      </c>
      <c r="D388" s="100">
        <v>1</v>
      </c>
      <c r="E388" s="100" t="str">
        <f t="shared" si="16"/>
        <v>341</v>
      </c>
      <c r="F388" s="100">
        <v>5</v>
      </c>
    </row>
    <row r="389" spans="1:6">
      <c r="A389" s="100">
        <v>28</v>
      </c>
      <c r="B389" s="100">
        <v>3</v>
      </c>
      <c r="C389" s="100">
        <v>4</v>
      </c>
      <c r="D389" s="100">
        <v>2</v>
      </c>
      <c r="E389" s="100" t="str">
        <f t="shared" si="16"/>
        <v>342</v>
      </c>
      <c r="F389" s="100">
        <v>6</v>
      </c>
    </row>
    <row r="390" spans="1:6">
      <c r="A390" s="100">
        <v>29</v>
      </c>
      <c r="B390" s="100">
        <v>3</v>
      </c>
      <c r="C390" s="100">
        <v>5</v>
      </c>
      <c r="D390" s="100">
        <v>1</v>
      </c>
      <c r="E390" s="100" t="str">
        <f t="shared" si="16"/>
        <v>351</v>
      </c>
      <c r="F390" s="100">
        <v>5</v>
      </c>
    </row>
    <row r="391" spans="1:6">
      <c r="A391" s="100">
        <v>30</v>
      </c>
      <c r="B391" s="100">
        <v>3</v>
      </c>
      <c r="C391" s="100">
        <v>5</v>
      </c>
      <c r="D391" s="100">
        <v>2</v>
      </c>
      <c r="E391" s="100" t="str">
        <f t="shared" si="16"/>
        <v>352</v>
      </c>
      <c r="F391" s="100">
        <v>6</v>
      </c>
    </row>
    <row r="392" spans="1:6">
      <c r="A392" s="100">
        <v>31</v>
      </c>
      <c r="B392" s="100">
        <v>4</v>
      </c>
      <c r="C392" s="100">
        <v>1</v>
      </c>
      <c r="D392" s="100">
        <v>1</v>
      </c>
      <c r="E392" s="100" t="str">
        <f t="shared" si="16"/>
        <v>411</v>
      </c>
      <c r="F392" s="100">
        <v>3</v>
      </c>
    </row>
    <row r="393" spans="1:6">
      <c r="A393" s="100">
        <v>32</v>
      </c>
      <c r="B393" s="100">
        <v>4</v>
      </c>
      <c r="C393" s="100">
        <v>1</v>
      </c>
      <c r="D393" s="100">
        <v>2</v>
      </c>
      <c r="E393" s="100" t="str">
        <f t="shared" si="16"/>
        <v>412</v>
      </c>
      <c r="F393" s="100">
        <v>4</v>
      </c>
    </row>
    <row r="394" spans="1:6">
      <c r="A394" s="100">
        <v>33</v>
      </c>
      <c r="B394" s="100">
        <v>4</v>
      </c>
      <c r="C394" s="100">
        <v>2</v>
      </c>
      <c r="D394" s="100">
        <v>1</v>
      </c>
      <c r="E394" s="100" t="str">
        <f t="shared" si="16"/>
        <v>421</v>
      </c>
      <c r="F394" s="100">
        <v>4</v>
      </c>
    </row>
    <row r="395" spans="1:6">
      <c r="A395" s="100">
        <v>34</v>
      </c>
      <c r="B395" s="100">
        <v>4</v>
      </c>
      <c r="C395" s="100">
        <v>2</v>
      </c>
      <c r="D395" s="100">
        <v>2</v>
      </c>
      <c r="E395" s="100" t="str">
        <f t="shared" si="16"/>
        <v>422</v>
      </c>
      <c r="F395" s="100">
        <v>5</v>
      </c>
    </row>
    <row r="396" spans="1:6">
      <c r="A396" s="100">
        <v>35</v>
      </c>
      <c r="B396" s="100">
        <v>4</v>
      </c>
      <c r="C396" s="100">
        <v>3</v>
      </c>
      <c r="D396" s="100">
        <v>1</v>
      </c>
      <c r="E396" s="100" t="str">
        <f t="shared" si="16"/>
        <v>431</v>
      </c>
      <c r="F396" s="100">
        <v>5</v>
      </c>
    </row>
    <row r="397" spans="1:6">
      <c r="A397" s="100">
        <v>36</v>
      </c>
      <c r="B397" s="100">
        <v>4</v>
      </c>
      <c r="C397" s="100">
        <v>3</v>
      </c>
      <c r="D397" s="100">
        <v>2</v>
      </c>
      <c r="E397" s="100" t="str">
        <f t="shared" si="16"/>
        <v>432</v>
      </c>
      <c r="F397" s="100">
        <v>6</v>
      </c>
    </row>
    <row r="398" spans="1:6">
      <c r="A398" s="100">
        <v>37</v>
      </c>
      <c r="B398" s="100">
        <v>4</v>
      </c>
      <c r="C398" s="100">
        <v>4</v>
      </c>
      <c r="D398" s="100">
        <v>1</v>
      </c>
      <c r="E398" s="100" t="str">
        <f t="shared" si="16"/>
        <v>441</v>
      </c>
      <c r="F398" s="100">
        <v>5</v>
      </c>
    </row>
    <row r="399" spans="1:6">
      <c r="A399" s="100">
        <v>38</v>
      </c>
      <c r="B399" s="100">
        <v>4</v>
      </c>
      <c r="C399" s="100">
        <v>4</v>
      </c>
      <c r="D399" s="100">
        <v>2</v>
      </c>
      <c r="E399" s="100" t="str">
        <f t="shared" si="16"/>
        <v>442</v>
      </c>
      <c r="F399" s="100">
        <v>6</v>
      </c>
    </row>
    <row r="400" spans="1:6">
      <c r="A400" s="100">
        <v>39</v>
      </c>
      <c r="B400" s="100">
        <v>4</v>
      </c>
      <c r="C400" s="100">
        <v>5</v>
      </c>
      <c r="D400" s="100">
        <v>1</v>
      </c>
      <c r="E400" s="100" t="str">
        <f t="shared" si="16"/>
        <v>451</v>
      </c>
      <c r="F400" s="100">
        <v>6</v>
      </c>
    </row>
    <row r="401" spans="1:6">
      <c r="A401" s="100">
        <v>40</v>
      </c>
      <c r="B401" s="100">
        <v>4</v>
      </c>
      <c r="C401" s="100">
        <v>5</v>
      </c>
      <c r="D401" s="100">
        <v>2</v>
      </c>
      <c r="E401" s="100" t="str">
        <f t="shared" si="16"/>
        <v>452</v>
      </c>
      <c r="F401" s="100">
        <v>7</v>
      </c>
    </row>
    <row r="403" spans="1:6">
      <c r="A403" s="100" t="s">
        <v>439</v>
      </c>
      <c r="B403" s="100" t="s">
        <v>341</v>
      </c>
      <c r="C403" s="100" t="s">
        <v>426</v>
      </c>
      <c r="D403" s="99" t="s">
        <v>361</v>
      </c>
      <c r="E403" s="100" t="s">
        <v>221</v>
      </c>
    </row>
    <row r="404" spans="1:6">
      <c r="A404" s="100">
        <v>1</v>
      </c>
      <c r="B404" s="100">
        <v>1</v>
      </c>
      <c r="C404" s="100">
        <v>1</v>
      </c>
      <c r="D404" s="100" t="str">
        <f>CONCATENATE(B404,C404)</f>
        <v>11</v>
      </c>
      <c r="E404" s="100">
        <v>1</v>
      </c>
      <c r="F404" s="100" t="s">
        <v>432</v>
      </c>
    </row>
    <row r="405" spans="1:6">
      <c r="A405" s="100">
        <v>2</v>
      </c>
      <c r="B405" s="100">
        <v>1</v>
      </c>
      <c r="C405" s="100">
        <v>2</v>
      </c>
      <c r="D405" s="100" t="str">
        <f t="shared" ref="D405:D415" si="17">CONCATENATE(B405,C405)</f>
        <v>12</v>
      </c>
      <c r="E405" s="100">
        <v>1</v>
      </c>
      <c r="F405" s="100" t="s">
        <v>432</v>
      </c>
    </row>
    <row r="406" spans="1:6">
      <c r="A406" s="100">
        <v>3</v>
      </c>
      <c r="B406" s="100">
        <v>1</v>
      </c>
      <c r="C406" s="100">
        <v>3</v>
      </c>
      <c r="D406" s="100" t="str">
        <f t="shared" si="17"/>
        <v>13</v>
      </c>
      <c r="E406" s="100">
        <v>2</v>
      </c>
      <c r="F406" s="100" t="s">
        <v>433</v>
      </c>
    </row>
    <row r="407" spans="1:6">
      <c r="A407" s="100">
        <v>4</v>
      </c>
      <c r="B407" s="100">
        <v>1</v>
      </c>
      <c r="C407" s="100">
        <v>4</v>
      </c>
      <c r="D407" s="100" t="str">
        <f t="shared" si="17"/>
        <v>14</v>
      </c>
      <c r="E407" s="100">
        <v>3</v>
      </c>
      <c r="F407" s="100" t="s">
        <v>432</v>
      </c>
    </row>
    <row r="408" spans="1:6">
      <c r="A408" s="100">
        <v>5</v>
      </c>
      <c r="B408" s="100">
        <v>2</v>
      </c>
      <c r="C408" s="100">
        <v>1</v>
      </c>
      <c r="D408" s="100" t="str">
        <f t="shared" si="17"/>
        <v>21</v>
      </c>
      <c r="E408" s="100">
        <v>1</v>
      </c>
      <c r="F408" s="100" t="s">
        <v>432</v>
      </c>
    </row>
    <row r="409" spans="1:6">
      <c r="A409" s="100">
        <v>6</v>
      </c>
      <c r="B409" s="100">
        <v>2</v>
      </c>
      <c r="C409" s="100">
        <v>2</v>
      </c>
      <c r="D409" s="100" t="str">
        <f t="shared" si="17"/>
        <v>22</v>
      </c>
      <c r="E409" s="100">
        <v>2</v>
      </c>
      <c r="F409" s="100" t="s">
        <v>433</v>
      </c>
    </row>
    <row r="410" spans="1:6">
      <c r="A410" s="100">
        <v>7</v>
      </c>
      <c r="B410" s="100">
        <v>2</v>
      </c>
      <c r="C410" s="100">
        <v>3</v>
      </c>
      <c r="D410" s="100" t="str">
        <f t="shared" si="17"/>
        <v>23</v>
      </c>
      <c r="E410" s="100">
        <v>2</v>
      </c>
      <c r="F410" s="100" t="s">
        <v>433</v>
      </c>
    </row>
    <row r="411" spans="1:6">
      <c r="A411" s="100">
        <v>8</v>
      </c>
      <c r="B411" s="100">
        <v>2</v>
      </c>
      <c r="C411" s="100">
        <v>4</v>
      </c>
      <c r="D411" s="100" t="str">
        <f t="shared" si="17"/>
        <v>24</v>
      </c>
      <c r="E411" s="100">
        <v>3</v>
      </c>
      <c r="F411" s="100" t="s">
        <v>433</v>
      </c>
    </row>
    <row r="412" spans="1:6">
      <c r="A412" s="100">
        <v>9</v>
      </c>
      <c r="B412" s="100">
        <v>3</v>
      </c>
      <c r="C412" s="100">
        <v>1</v>
      </c>
      <c r="D412" s="100" t="str">
        <f t="shared" si="17"/>
        <v>31</v>
      </c>
      <c r="E412" s="100">
        <v>1</v>
      </c>
      <c r="F412" s="100" t="s">
        <v>432</v>
      </c>
    </row>
    <row r="413" spans="1:6">
      <c r="A413" s="100">
        <v>10</v>
      </c>
      <c r="B413" s="100">
        <v>3</v>
      </c>
      <c r="C413" s="100">
        <v>2</v>
      </c>
      <c r="D413" s="100" t="str">
        <f t="shared" si="17"/>
        <v>32</v>
      </c>
      <c r="E413" s="100">
        <v>2</v>
      </c>
      <c r="F413" s="100" t="s">
        <v>433</v>
      </c>
    </row>
    <row r="414" spans="1:6">
      <c r="A414" s="100">
        <v>11</v>
      </c>
      <c r="B414" s="100">
        <v>3</v>
      </c>
      <c r="C414" s="100">
        <v>3</v>
      </c>
      <c r="D414" s="100" t="str">
        <f t="shared" si="17"/>
        <v>33</v>
      </c>
      <c r="E414" s="100">
        <v>3</v>
      </c>
      <c r="F414" s="100" t="s">
        <v>433</v>
      </c>
    </row>
    <row r="415" spans="1:6">
      <c r="A415" s="100">
        <v>12</v>
      </c>
      <c r="B415" s="100">
        <v>3</v>
      </c>
      <c r="C415" s="100">
        <v>4</v>
      </c>
      <c r="D415" s="100" t="str">
        <f t="shared" si="17"/>
        <v>34</v>
      </c>
      <c r="E415" s="100">
        <v>3</v>
      </c>
      <c r="F415" s="100" t="s">
        <v>432</v>
      </c>
    </row>
    <row r="417" spans="1:7">
      <c r="A417" s="100" t="s">
        <v>440</v>
      </c>
      <c r="B417" s="100" t="s">
        <v>221</v>
      </c>
      <c r="C417" s="100" t="s">
        <v>16</v>
      </c>
      <c r="D417" s="99" t="s">
        <v>361</v>
      </c>
      <c r="E417" s="100" t="s">
        <v>438</v>
      </c>
    </row>
    <row r="418" spans="1:7">
      <c r="A418" s="100">
        <v>1</v>
      </c>
      <c r="B418" s="100">
        <v>1</v>
      </c>
      <c r="C418" s="100">
        <v>1</v>
      </c>
      <c r="D418" s="100" t="str">
        <f t="shared" ref="D418:D423" si="18">CONCATENATE(B418,C418)</f>
        <v>11</v>
      </c>
      <c r="E418" s="100">
        <v>1</v>
      </c>
      <c r="F418" s="100" t="s">
        <v>432</v>
      </c>
    </row>
    <row r="419" spans="1:7">
      <c r="A419" s="100">
        <v>2</v>
      </c>
      <c r="B419" s="100">
        <v>1</v>
      </c>
      <c r="C419" s="100">
        <v>2</v>
      </c>
      <c r="D419" s="100" t="str">
        <f t="shared" si="18"/>
        <v>12</v>
      </c>
      <c r="E419" s="100">
        <v>3</v>
      </c>
      <c r="F419" s="100" t="s">
        <v>432</v>
      </c>
    </row>
    <row r="420" spans="1:7">
      <c r="A420" s="100">
        <v>3</v>
      </c>
      <c r="B420" s="100">
        <v>2</v>
      </c>
      <c r="C420" s="100">
        <v>1</v>
      </c>
      <c r="D420" s="100" t="str">
        <f t="shared" si="18"/>
        <v>21</v>
      </c>
      <c r="E420" s="100">
        <v>2</v>
      </c>
      <c r="F420" s="100" t="s">
        <v>432</v>
      </c>
    </row>
    <row r="421" spans="1:7">
      <c r="A421" s="100">
        <v>4</v>
      </c>
      <c r="B421" s="100">
        <v>2</v>
      </c>
      <c r="C421" s="100">
        <v>2</v>
      </c>
      <c r="D421" s="100" t="str">
        <f t="shared" si="18"/>
        <v>22</v>
      </c>
      <c r="E421" s="100">
        <v>3</v>
      </c>
      <c r="F421" s="100" t="s">
        <v>432</v>
      </c>
    </row>
    <row r="422" spans="1:7">
      <c r="A422" s="100">
        <v>5</v>
      </c>
      <c r="B422" s="100">
        <v>3</v>
      </c>
      <c r="C422" s="100">
        <v>1</v>
      </c>
      <c r="D422" s="100" t="str">
        <f t="shared" si="18"/>
        <v>31</v>
      </c>
      <c r="E422" s="100">
        <v>3</v>
      </c>
      <c r="F422" s="100" t="s">
        <v>432</v>
      </c>
    </row>
    <row r="423" spans="1:7">
      <c r="A423" s="100">
        <v>6</v>
      </c>
      <c r="B423" s="100">
        <v>3</v>
      </c>
      <c r="C423" s="100">
        <v>2</v>
      </c>
      <c r="D423" s="100" t="str">
        <f t="shared" si="18"/>
        <v>32</v>
      </c>
      <c r="E423" s="100">
        <v>3</v>
      </c>
      <c r="F423" s="100" t="s">
        <v>432</v>
      </c>
    </row>
    <row r="425" spans="1:7">
      <c r="A425" s="100" t="s">
        <v>442</v>
      </c>
      <c r="B425" s="100" t="s">
        <v>38</v>
      </c>
      <c r="C425" s="100" t="s">
        <v>438</v>
      </c>
      <c r="D425" s="100" t="s">
        <v>441</v>
      </c>
      <c r="E425" s="99" t="s">
        <v>361</v>
      </c>
      <c r="F425" s="100" t="s">
        <v>437</v>
      </c>
    </row>
    <row r="426" spans="1:7">
      <c r="A426" s="100">
        <v>1</v>
      </c>
      <c r="B426" s="100">
        <v>1</v>
      </c>
      <c r="C426" s="100">
        <v>1</v>
      </c>
      <c r="D426" s="100">
        <v>1</v>
      </c>
      <c r="E426" s="100" t="str">
        <f>CONCATENATE(B426,C426,D426)</f>
        <v>111</v>
      </c>
      <c r="F426" s="100">
        <v>1</v>
      </c>
      <c r="G426" s="100" t="s">
        <v>432</v>
      </c>
    </row>
    <row r="427" spans="1:7">
      <c r="A427" s="100">
        <v>2</v>
      </c>
      <c r="B427" s="100">
        <v>1</v>
      </c>
      <c r="C427" s="100">
        <v>1</v>
      </c>
      <c r="D427" s="100">
        <v>2</v>
      </c>
      <c r="E427" s="100" t="str">
        <f t="shared" ref="E427:E443" si="19">CONCATENATE(B427,C427,D427)</f>
        <v>112</v>
      </c>
      <c r="F427" s="100">
        <v>2</v>
      </c>
      <c r="G427" s="100" t="s">
        <v>432</v>
      </c>
    </row>
    <row r="428" spans="1:7">
      <c r="A428" s="100">
        <v>3</v>
      </c>
      <c r="B428" s="100">
        <v>1</v>
      </c>
      <c r="C428" s="100">
        <v>2</v>
      </c>
      <c r="D428" s="100">
        <v>1</v>
      </c>
      <c r="E428" s="100" t="str">
        <f t="shared" si="19"/>
        <v>121</v>
      </c>
      <c r="F428" s="100">
        <v>1</v>
      </c>
      <c r="G428" s="100" t="s">
        <v>432</v>
      </c>
    </row>
    <row r="429" spans="1:7">
      <c r="A429" s="100">
        <v>4</v>
      </c>
      <c r="B429" s="100">
        <v>1</v>
      </c>
      <c r="C429" s="100">
        <v>2</v>
      </c>
      <c r="D429" s="100">
        <v>2</v>
      </c>
      <c r="E429" s="100" t="str">
        <f t="shared" si="19"/>
        <v>122</v>
      </c>
      <c r="F429" s="100">
        <v>2</v>
      </c>
      <c r="G429" s="100" t="s">
        <v>432</v>
      </c>
    </row>
    <row r="430" spans="1:7">
      <c r="A430" s="100">
        <v>5</v>
      </c>
      <c r="B430" s="100">
        <v>1</v>
      </c>
      <c r="C430" s="100">
        <v>3</v>
      </c>
      <c r="D430" s="100">
        <v>1</v>
      </c>
      <c r="E430" s="100" t="str">
        <f t="shared" si="19"/>
        <v>131</v>
      </c>
      <c r="F430" s="100">
        <v>1</v>
      </c>
      <c r="G430" s="100" t="s">
        <v>432</v>
      </c>
    </row>
    <row r="431" spans="1:7">
      <c r="A431" s="100">
        <v>6</v>
      </c>
      <c r="B431" s="100">
        <v>1</v>
      </c>
      <c r="C431" s="100">
        <v>3</v>
      </c>
      <c r="D431" s="100">
        <v>2</v>
      </c>
      <c r="E431" s="100" t="str">
        <f t="shared" si="19"/>
        <v>132</v>
      </c>
      <c r="F431" s="100">
        <v>1</v>
      </c>
      <c r="G431" s="100" t="s">
        <v>432</v>
      </c>
    </row>
    <row r="432" spans="1:7">
      <c r="A432" s="100">
        <v>7</v>
      </c>
      <c r="B432" s="100">
        <v>2</v>
      </c>
      <c r="C432" s="100">
        <v>1</v>
      </c>
      <c r="D432" s="100">
        <v>1</v>
      </c>
      <c r="E432" s="100" t="str">
        <f t="shared" si="19"/>
        <v>211</v>
      </c>
      <c r="F432" s="100">
        <v>1</v>
      </c>
      <c r="G432" s="100" t="s">
        <v>432</v>
      </c>
    </row>
    <row r="433" spans="1:7">
      <c r="A433" s="100">
        <v>8</v>
      </c>
      <c r="B433" s="100">
        <v>2</v>
      </c>
      <c r="C433" s="100">
        <v>1</v>
      </c>
      <c r="D433" s="100">
        <v>2</v>
      </c>
      <c r="E433" s="100" t="str">
        <f t="shared" si="19"/>
        <v>212</v>
      </c>
      <c r="F433" s="100">
        <v>1</v>
      </c>
      <c r="G433" s="100" t="s">
        <v>432</v>
      </c>
    </row>
    <row r="434" spans="1:7">
      <c r="A434" s="100">
        <v>9</v>
      </c>
      <c r="B434" s="100">
        <v>2</v>
      </c>
      <c r="C434" s="100">
        <v>2</v>
      </c>
      <c r="D434" s="100">
        <v>1</v>
      </c>
      <c r="E434" s="100" t="str">
        <f t="shared" si="19"/>
        <v>221</v>
      </c>
      <c r="F434" s="100">
        <v>1</v>
      </c>
      <c r="G434" s="100" t="s">
        <v>432</v>
      </c>
    </row>
    <row r="435" spans="1:7">
      <c r="A435" s="100">
        <v>10</v>
      </c>
      <c r="B435" s="100">
        <v>2</v>
      </c>
      <c r="C435" s="100">
        <v>2</v>
      </c>
      <c r="D435" s="100">
        <v>2</v>
      </c>
      <c r="E435" s="100" t="str">
        <f t="shared" si="19"/>
        <v>222</v>
      </c>
      <c r="F435" s="100">
        <v>1</v>
      </c>
      <c r="G435" s="100" t="s">
        <v>432</v>
      </c>
    </row>
    <row r="436" spans="1:7">
      <c r="A436" s="100">
        <v>11</v>
      </c>
      <c r="B436" s="100">
        <v>2</v>
      </c>
      <c r="C436" s="100">
        <v>3</v>
      </c>
      <c r="D436" s="100">
        <v>1</v>
      </c>
      <c r="E436" s="100" t="str">
        <f t="shared" si="19"/>
        <v>231</v>
      </c>
      <c r="F436" s="100">
        <v>1</v>
      </c>
      <c r="G436" s="100" t="s">
        <v>432</v>
      </c>
    </row>
    <row r="437" spans="1:7">
      <c r="A437" s="100">
        <v>12</v>
      </c>
      <c r="B437" s="100">
        <v>2</v>
      </c>
      <c r="C437" s="100">
        <v>3</v>
      </c>
      <c r="D437" s="100">
        <v>2</v>
      </c>
      <c r="E437" s="100" t="str">
        <f t="shared" si="19"/>
        <v>232</v>
      </c>
      <c r="F437" s="100">
        <v>1</v>
      </c>
      <c r="G437" s="100" t="s">
        <v>432</v>
      </c>
    </row>
    <row r="438" spans="1:7">
      <c r="A438" s="100">
        <v>13</v>
      </c>
      <c r="B438" s="100">
        <v>3</v>
      </c>
      <c r="C438" s="100">
        <v>1</v>
      </c>
      <c r="D438" s="100">
        <v>1</v>
      </c>
      <c r="E438" s="100" t="str">
        <f t="shared" si="19"/>
        <v>311</v>
      </c>
      <c r="F438" s="100">
        <v>1</v>
      </c>
      <c r="G438" s="100" t="s">
        <v>432</v>
      </c>
    </row>
    <row r="439" spans="1:7">
      <c r="A439" s="100">
        <v>14</v>
      </c>
      <c r="B439" s="100">
        <v>3</v>
      </c>
      <c r="C439" s="100">
        <v>1</v>
      </c>
      <c r="D439" s="100">
        <v>2</v>
      </c>
      <c r="E439" s="100" t="str">
        <f t="shared" si="19"/>
        <v>312</v>
      </c>
      <c r="F439" s="100">
        <v>1</v>
      </c>
      <c r="G439" s="100" t="s">
        <v>432</v>
      </c>
    </row>
    <row r="440" spans="1:7">
      <c r="A440" s="100">
        <v>15</v>
      </c>
      <c r="B440" s="100">
        <v>3</v>
      </c>
      <c r="C440" s="100">
        <v>2</v>
      </c>
      <c r="D440" s="100">
        <v>1</v>
      </c>
      <c r="E440" s="100" t="str">
        <f t="shared" si="19"/>
        <v>321</v>
      </c>
      <c r="F440" s="100">
        <v>1</v>
      </c>
      <c r="G440" s="100" t="s">
        <v>432</v>
      </c>
    </row>
    <row r="441" spans="1:7">
      <c r="A441" s="100">
        <v>16</v>
      </c>
      <c r="B441" s="100">
        <v>3</v>
      </c>
      <c r="C441" s="100">
        <v>2</v>
      </c>
      <c r="D441" s="100">
        <v>2</v>
      </c>
      <c r="E441" s="100" t="str">
        <f t="shared" si="19"/>
        <v>322</v>
      </c>
      <c r="F441" s="100">
        <v>1</v>
      </c>
      <c r="G441" s="100" t="s">
        <v>432</v>
      </c>
    </row>
    <row r="442" spans="1:7">
      <c r="A442" s="100">
        <v>17</v>
      </c>
      <c r="B442" s="100">
        <v>3</v>
      </c>
      <c r="C442" s="100">
        <v>3</v>
      </c>
      <c r="D442" s="100">
        <v>1</v>
      </c>
      <c r="E442" s="100" t="str">
        <f t="shared" si="19"/>
        <v>331</v>
      </c>
      <c r="F442" s="100">
        <v>1</v>
      </c>
      <c r="G442" s="100" t="s">
        <v>432</v>
      </c>
    </row>
    <row r="443" spans="1:7">
      <c r="A443" s="100">
        <v>18</v>
      </c>
      <c r="B443" s="100">
        <v>3</v>
      </c>
      <c r="C443" s="100">
        <v>3</v>
      </c>
      <c r="D443" s="100">
        <v>2</v>
      </c>
      <c r="E443" s="100" t="str">
        <f t="shared" si="19"/>
        <v>332</v>
      </c>
      <c r="F443" s="100">
        <v>1</v>
      </c>
      <c r="G443" s="100" t="s">
        <v>432</v>
      </c>
    </row>
    <row r="445" spans="1:7">
      <c r="A445" s="100" t="s">
        <v>444</v>
      </c>
      <c r="B445" s="100" t="s">
        <v>38</v>
      </c>
      <c r="C445" s="100" t="s">
        <v>438</v>
      </c>
      <c r="D445" s="99" t="s">
        <v>361</v>
      </c>
      <c r="E445" s="100" t="s">
        <v>445</v>
      </c>
    </row>
    <row r="446" spans="1:7">
      <c r="A446" s="100">
        <v>1</v>
      </c>
      <c r="B446" s="100">
        <v>1</v>
      </c>
      <c r="C446" s="100">
        <v>1</v>
      </c>
      <c r="D446" s="100" t="str">
        <f>CONCATENATE(B446,C446)</f>
        <v>11</v>
      </c>
      <c r="E446" s="100">
        <v>1</v>
      </c>
      <c r="F446" s="100" t="s">
        <v>432</v>
      </c>
    </row>
    <row r="447" spans="1:7">
      <c r="A447" s="100">
        <v>2</v>
      </c>
      <c r="B447" s="100">
        <v>1</v>
      </c>
      <c r="C447" s="100">
        <v>2</v>
      </c>
      <c r="D447" s="100" t="str">
        <f t="shared" ref="D447:D454" si="20">CONCATENATE(B447,C447)</f>
        <v>12</v>
      </c>
      <c r="E447" s="100">
        <v>1</v>
      </c>
      <c r="F447" s="100" t="s">
        <v>432</v>
      </c>
    </row>
    <row r="448" spans="1:7">
      <c r="A448" s="100">
        <v>3</v>
      </c>
      <c r="B448" s="100">
        <v>1</v>
      </c>
      <c r="C448" s="100">
        <v>3</v>
      </c>
      <c r="D448" s="100" t="str">
        <f t="shared" si="20"/>
        <v>13</v>
      </c>
      <c r="E448" s="100">
        <v>1</v>
      </c>
      <c r="F448" s="100" t="s">
        <v>432</v>
      </c>
    </row>
    <row r="449" spans="1:7">
      <c r="A449" s="100">
        <v>4</v>
      </c>
      <c r="B449" s="100">
        <v>2</v>
      </c>
      <c r="C449" s="100">
        <v>1</v>
      </c>
      <c r="D449" s="100" t="str">
        <f t="shared" si="20"/>
        <v>21</v>
      </c>
      <c r="E449" s="100">
        <v>2</v>
      </c>
      <c r="F449" s="100" t="s">
        <v>432</v>
      </c>
    </row>
    <row r="450" spans="1:7">
      <c r="A450" s="100">
        <v>5</v>
      </c>
      <c r="B450" s="100">
        <v>2</v>
      </c>
      <c r="C450" s="100">
        <v>2</v>
      </c>
      <c r="D450" s="100" t="str">
        <f t="shared" si="20"/>
        <v>22</v>
      </c>
      <c r="E450" s="100">
        <v>1</v>
      </c>
      <c r="F450" s="100" t="s">
        <v>432</v>
      </c>
    </row>
    <row r="451" spans="1:7">
      <c r="A451" s="100">
        <v>6</v>
      </c>
      <c r="B451" s="100">
        <v>2</v>
      </c>
      <c r="C451" s="100">
        <v>3</v>
      </c>
      <c r="D451" s="100" t="str">
        <f t="shared" si="20"/>
        <v>23</v>
      </c>
      <c r="E451" s="100">
        <v>1</v>
      </c>
      <c r="F451" s="100" t="s">
        <v>432</v>
      </c>
    </row>
    <row r="452" spans="1:7">
      <c r="A452" s="100">
        <v>7</v>
      </c>
      <c r="B452" s="100">
        <v>3</v>
      </c>
      <c r="C452" s="100">
        <v>1</v>
      </c>
      <c r="D452" s="100" t="str">
        <f t="shared" si="20"/>
        <v>31</v>
      </c>
      <c r="E452" s="100">
        <v>1</v>
      </c>
      <c r="F452" s="100" t="s">
        <v>432</v>
      </c>
    </row>
    <row r="453" spans="1:7">
      <c r="A453" s="100">
        <v>8</v>
      </c>
      <c r="B453" s="100">
        <v>3</v>
      </c>
      <c r="C453" s="100">
        <v>2</v>
      </c>
      <c r="D453" s="100" t="str">
        <f t="shared" si="20"/>
        <v>32</v>
      </c>
      <c r="E453" s="100">
        <v>1</v>
      </c>
      <c r="F453" s="100" t="s">
        <v>432</v>
      </c>
    </row>
    <row r="454" spans="1:7">
      <c r="A454" s="100">
        <v>9</v>
      </c>
      <c r="B454" s="100">
        <v>3</v>
      </c>
      <c r="C454" s="100">
        <v>3</v>
      </c>
      <c r="D454" s="100" t="str">
        <f t="shared" si="20"/>
        <v>33</v>
      </c>
      <c r="E454" s="100">
        <v>1</v>
      </c>
      <c r="F454" s="100" t="s">
        <v>432</v>
      </c>
    </row>
    <row r="456" spans="1:7">
      <c r="A456" s="100" t="s">
        <v>448</v>
      </c>
      <c r="B456" s="100" t="s">
        <v>436</v>
      </c>
      <c r="C456" s="100" t="s">
        <v>449</v>
      </c>
    </row>
    <row r="457" spans="1:7">
      <c r="A457" s="100">
        <v>1</v>
      </c>
      <c r="B457" s="100">
        <v>1</v>
      </c>
      <c r="C457" s="100">
        <v>1</v>
      </c>
      <c r="D457" s="100" t="s">
        <v>432</v>
      </c>
    </row>
    <row r="458" spans="1:7">
      <c r="A458" s="100">
        <v>2</v>
      </c>
      <c r="B458" s="100">
        <v>2</v>
      </c>
      <c r="C458" s="100">
        <v>2</v>
      </c>
      <c r="D458" s="100" t="s">
        <v>432</v>
      </c>
    </row>
    <row r="459" spans="1:7">
      <c r="A459" s="100">
        <v>3</v>
      </c>
      <c r="B459" s="100">
        <v>3</v>
      </c>
      <c r="C459" s="100">
        <v>3</v>
      </c>
      <c r="D459" s="100" t="s">
        <v>432</v>
      </c>
    </row>
    <row r="461" spans="1:7">
      <c r="A461" s="100" t="s">
        <v>450</v>
      </c>
      <c r="B461" s="100" t="s">
        <v>6</v>
      </c>
      <c r="C461" s="100" t="s">
        <v>38</v>
      </c>
      <c r="D461" s="100" t="s">
        <v>449</v>
      </c>
      <c r="E461" s="99" t="s">
        <v>361</v>
      </c>
      <c r="F461" s="100" t="s">
        <v>451</v>
      </c>
    </row>
    <row r="462" spans="1:7">
      <c r="A462" s="100">
        <v>1</v>
      </c>
      <c r="B462" s="100">
        <v>1</v>
      </c>
      <c r="C462" s="100">
        <v>1</v>
      </c>
      <c r="D462" s="100">
        <v>1</v>
      </c>
      <c r="E462" s="100" t="str">
        <f>CONCATENATE(B462,C462,D462)</f>
        <v>111</v>
      </c>
      <c r="F462" s="100">
        <v>1</v>
      </c>
      <c r="G462" s="100" t="s">
        <v>432</v>
      </c>
    </row>
    <row r="463" spans="1:7">
      <c r="A463" s="100">
        <v>2</v>
      </c>
      <c r="B463" s="100">
        <v>1</v>
      </c>
      <c r="C463" s="100">
        <v>1</v>
      </c>
      <c r="D463" s="100">
        <v>2</v>
      </c>
      <c r="E463" s="100" t="str">
        <f t="shared" ref="E463:E497" si="21">CONCATENATE(B463,C463,D463)</f>
        <v>112</v>
      </c>
      <c r="F463" s="100">
        <v>1</v>
      </c>
      <c r="G463" s="100" t="s">
        <v>433</v>
      </c>
    </row>
    <row r="464" spans="1:7">
      <c r="A464" s="100">
        <v>3</v>
      </c>
      <c r="B464" s="100">
        <v>1</v>
      </c>
      <c r="C464" s="100">
        <v>1</v>
      </c>
      <c r="D464" s="100">
        <v>3</v>
      </c>
      <c r="E464" s="100" t="str">
        <f t="shared" si="21"/>
        <v>113</v>
      </c>
      <c r="F464" s="100">
        <v>1</v>
      </c>
      <c r="G464" s="100" t="s">
        <v>433</v>
      </c>
    </row>
    <row r="465" spans="1:7">
      <c r="A465" s="100">
        <v>4</v>
      </c>
      <c r="B465" s="100">
        <v>1</v>
      </c>
      <c r="C465" s="100">
        <v>2</v>
      </c>
      <c r="D465" s="100">
        <v>1</v>
      </c>
      <c r="E465" s="100" t="str">
        <f t="shared" si="21"/>
        <v>121</v>
      </c>
      <c r="F465" s="100">
        <v>1</v>
      </c>
      <c r="G465" s="100" t="s">
        <v>433</v>
      </c>
    </row>
    <row r="466" spans="1:7">
      <c r="A466" s="100">
        <v>5</v>
      </c>
      <c r="B466" s="100">
        <v>1</v>
      </c>
      <c r="C466" s="100">
        <v>2</v>
      </c>
      <c r="D466" s="100">
        <v>2</v>
      </c>
      <c r="E466" s="100" t="str">
        <f t="shared" si="21"/>
        <v>122</v>
      </c>
      <c r="F466" s="100">
        <v>1</v>
      </c>
      <c r="G466" s="100" t="s">
        <v>433</v>
      </c>
    </row>
    <row r="467" spans="1:7">
      <c r="A467" s="100">
        <v>6</v>
      </c>
      <c r="B467" s="100">
        <v>1</v>
      </c>
      <c r="C467" s="100">
        <v>2</v>
      </c>
      <c r="D467" s="100">
        <v>3</v>
      </c>
      <c r="E467" s="100" t="str">
        <f t="shared" si="21"/>
        <v>123</v>
      </c>
      <c r="F467" s="100">
        <v>1</v>
      </c>
      <c r="G467" s="100" t="s">
        <v>433</v>
      </c>
    </row>
    <row r="468" spans="1:7">
      <c r="A468" s="100">
        <v>7</v>
      </c>
      <c r="B468" s="100">
        <v>1</v>
      </c>
      <c r="C468" s="100">
        <v>3</v>
      </c>
      <c r="D468" s="100">
        <v>1</v>
      </c>
      <c r="E468" s="100" t="str">
        <f t="shared" si="21"/>
        <v>131</v>
      </c>
      <c r="F468" s="100">
        <v>1</v>
      </c>
      <c r="G468" s="100" t="s">
        <v>433</v>
      </c>
    </row>
    <row r="469" spans="1:7">
      <c r="A469" s="100">
        <v>8</v>
      </c>
      <c r="B469" s="100">
        <v>1</v>
      </c>
      <c r="C469" s="100">
        <v>3</v>
      </c>
      <c r="D469" s="100">
        <v>2</v>
      </c>
      <c r="E469" s="100" t="str">
        <f t="shared" si="21"/>
        <v>132</v>
      </c>
      <c r="F469" s="100">
        <v>1</v>
      </c>
      <c r="G469" s="100" t="s">
        <v>433</v>
      </c>
    </row>
    <row r="470" spans="1:7">
      <c r="A470" s="100">
        <v>9</v>
      </c>
      <c r="B470" s="100">
        <v>1</v>
      </c>
      <c r="C470" s="100">
        <v>3</v>
      </c>
      <c r="D470" s="100">
        <v>3</v>
      </c>
      <c r="E470" s="100" t="str">
        <f t="shared" si="21"/>
        <v>133</v>
      </c>
      <c r="F470" s="100">
        <v>1</v>
      </c>
      <c r="G470" s="100" t="s">
        <v>433</v>
      </c>
    </row>
    <row r="471" spans="1:7">
      <c r="A471" s="100">
        <v>10</v>
      </c>
      <c r="B471" s="100">
        <v>2</v>
      </c>
      <c r="C471" s="100">
        <v>1</v>
      </c>
      <c r="D471" s="100">
        <v>1</v>
      </c>
      <c r="E471" s="100" t="str">
        <f t="shared" si="21"/>
        <v>211</v>
      </c>
      <c r="F471" s="100">
        <v>1</v>
      </c>
      <c r="G471" s="100" t="s">
        <v>433</v>
      </c>
    </row>
    <row r="472" spans="1:7">
      <c r="A472" s="100">
        <v>11</v>
      </c>
      <c r="B472" s="100">
        <v>2</v>
      </c>
      <c r="C472" s="100">
        <v>1</v>
      </c>
      <c r="D472" s="100">
        <v>2</v>
      </c>
      <c r="E472" s="100" t="str">
        <f t="shared" si="21"/>
        <v>212</v>
      </c>
      <c r="F472" s="100">
        <v>1</v>
      </c>
      <c r="G472" s="100" t="s">
        <v>433</v>
      </c>
    </row>
    <row r="473" spans="1:7">
      <c r="A473" s="100">
        <v>12</v>
      </c>
      <c r="B473" s="100">
        <v>2</v>
      </c>
      <c r="C473" s="100">
        <v>1</v>
      </c>
      <c r="D473" s="100">
        <v>3</v>
      </c>
      <c r="E473" s="100" t="str">
        <f t="shared" si="21"/>
        <v>213</v>
      </c>
      <c r="F473" s="100">
        <v>1</v>
      </c>
      <c r="G473" s="100" t="s">
        <v>433</v>
      </c>
    </row>
    <row r="474" spans="1:7">
      <c r="A474" s="100">
        <v>13</v>
      </c>
      <c r="B474" s="100">
        <v>2</v>
      </c>
      <c r="C474" s="100">
        <v>2</v>
      </c>
      <c r="D474" s="100">
        <v>1</v>
      </c>
      <c r="E474" s="100" t="str">
        <f t="shared" si="21"/>
        <v>221</v>
      </c>
      <c r="F474" s="100">
        <v>1</v>
      </c>
      <c r="G474" s="100" t="s">
        <v>433</v>
      </c>
    </row>
    <row r="475" spans="1:7">
      <c r="A475" s="100">
        <v>14</v>
      </c>
      <c r="B475" s="100">
        <v>2</v>
      </c>
      <c r="C475" s="100">
        <v>2</v>
      </c>
      <c r="D475" s="100">
        <v>2</v>
      </c>
      <c r="E475" s="100" t="str">
        <f t="shared" si="21"/>
        <v>222</v>
      </c>
      <c r="F475" s="100">
        <v>1</v>
      </c>
      <c r="G475" s="100" t="s">
        <v>433</v>
      </c>
    </row>
    <row r="476" spans="1:7">
      <c r="A476" s="100">
        <v>15</v>
      </c>
      <c r="B476" s="100">
        <v>2</v>
      </c>
      <c r="C476" s="100">
        <v>2</v>
      </c>
      <c r="D476" s="100">
        <v>3</v>
      </c>
      <c r="E476" s="100" t="str">
        <f t="shared" si="21"/>
        <v>223</v>
      </c>
      <c r="F476" s="100">
        <v>1</v>
      </c>
      <c r="G476" s="100" t="s">
        <v>433</v>
      </c>
    </row>
    <row r="477" spans="1:7">
      <c r="A477" s="100">
        <v>16</v>
      </c>
      <c r="B477" s="100">
        <v>2</v>
      </c>
      <c r="C477" s="100">
        <v>3</v>
      </c>
      <c r="D477" s="100">
        <v>1</v>
      </c>
      <c r="E477" s="100" t="str">
        <f t="shared" si="21"/>
        <v>231</v>
      </c>
      <c r="F477" s="100">
        <v>1</v>
      </c>
      <c r="G477" s="100" t="s">
        <v>433</v>
      </c>
    </row>
    <row r="478" spans="1:7">
      <c r="A478" s="100">
        <v>17</v>
      </c>
      <c r="B478" s="100">
        <v>2</v>
      </c>
      <c r="C478" s="100">
        <v>3</v>
      </c>
      <c r="D478" s="100">
        <v>2</v>
      </c>
      <c r="E478" s="100" t="str">
        <f t="shared" si="21"/>
        <v>232</v>
      </c>
      <c r="F478" s="100">
        <v>1</v>
      </c>
      <c r="G478" s="100" t="s">
        <v>433</v>
      </c>
    </row>
    <row r="479" spans="1:7">
      <c r="A479" s="100">
        <v>18</v>
      </c>
      <c r="B479" s="100">
        <v>2</v>
      </c>
      <c r="C479" s="100">
        <v>3</v>
      </c>
      <c r="D479" s="100">
        <v>3</v>
      </c>
      <c r="E479" s="100" t="str">
        <f t="shared" si="21"/>
        <v>233</v>
      </c>
      <c r="F479" s="100">
        <v>1</v>
      </c>
      <c r="G479" s="100" t="s">
        <v>433</v>
      </c>
    </row>
    <row r="480" spans="1:7">
      <c r="A480" s="100">
        <v>19</v>
      </c>
      <c r="B480" s="100">
        <v>3</v>
      </c>
      <c r="C480" s="100">
        <v>1</v>
      </c>
      <c r="D480" s="100">
        <v>1</v>
      </c>
      <c r="E480" s="100" t="str">
        <f t="shared" si="21"/>
        <v>311</v>
      </c>
      <c r="F480" s="100">
        <v>1</v>
      </c>
      <c r="G480" s="100" t="s">
        <v>433</v>
      </c>
    </row>
    <row r="481" spans="1:7">
      <c r="A481" s="100">
        <v>20</v>
      </c>
      <c r="B481" s="100">
        <v>3</v>
      </c>
      <c r="C481" s="100">
        <v>1</v>
      </c>
      <c r="D481" s="100">
        <v>2</v>
      </c>
      <c r="E481" s="100" t="str">
        <f t="shared" si="21"/>
        <v>312</v>
      </c>
      <c r="F481" s="100">
        <v>1</v>
      </c>
      <c r="G481" s="100" t="s">
        <v>433</v>
      </c>
    </row>
    <row r="482" spans="1:7">
      <c r="A482" s="100">
        <v>21</v>
      </c>
      <c r="B482" s="100">
        <v>3</v>
      </c>
      <c r="C482" s="100">
        <v>1</v>
      </c>
      <c r="D482" s="100">
        <v>3</v>
      </c>
      <c r="E482" s="100" t="str">
        <f t="shared" si="21"/>
        <v>313</v>
      </c>
      <c r="F482" s="100">
        <v>1</v>
      </c>
      <c r="G482" s="100" t="s">
        <v>433</v>
      </c>
    </row>
    <row r="483" spans="1:7">
      <c r="A483" s="100">
        <v>22</v>
      </c>
      <c r="B483" s="100">
        <v>3</v>
      </c>
      <c r="C483" s="100">
        <v>2</v>
      </c>
      <c r="D483" s="100">
        <v>1</v>
      </c>
      <c r="E483" s="100" t="str">
        <f t="shared" si="21"/>
        <v>321</v>
      </c>
      <c r="F483" s="100">
        <v>1</v>
      </c>
      <c r="G483" s="100" t="s">
        <v>433</v>
      </c>
    </row>
    <row r="484" spans="1:7">
      <c r="A484" s="100">
        <v>23</v>
      </c>
      <c r="B484" s="100">
        <v>3</v>
      </c>
      <c r="C484" s="100">
        <v>2</v>
      </c>
      <c r="D484" s="100">
        <v>2</v>
      </c>
      <c r="E484" s="100" t="str">
        <f t="shared" si="21"/>
        <v>322</v>
      </c>
      <c r="F484" s="100">
        <v>1</v>
      </c>
      <c r="G484" s="100" t="s">
        <v>433</v>
      </c>
    </row>
    <row r="485" spans="1:7">
      <c r="A485" s="100">
        <v>24</v>
      </c>
      <c r="B485" s="100">
        <v>3</v>
      </c>
      <c r="C485" s="100">
        <v>2</v>
      </c>
      <c r="D485" s="100">
        <v>3</v>
      </c>
      <c r="E485" s="100" t="str">
        <f t="shared" si="21"/>
        <v>323</v>
      </c>
      <c r="F485" s="100">
        <v>1</v>
      </c>
      <c r="G485" s="100" t="s">
        <v>433</v>
      </c>
    </row>
    <row r="486" spans="1:7">
      <c r="A486" s="100">
        <v>25</v>
      </c>
      <c r="B486" s="100">
        <v>3</v>
      </c>
      <c r="C486" s="100">
        <v>3</v>
      </c>
      <c r="D486" s="100">
        <v>1</v>
      </c>
      <c r="E486" s="100" t="str">
        <f t="shared" si="21"/>
        <v>331</v>
      </c>
      <c r="F486" s="100">
        <v>1</v>
      </c>
      <c r="G486" s="100" t="s">
        <v>433</v>
      </c>
    </row>
    <row r="487" spans="1:7">
      <c r="A487" s="100">
        <v>26</v>
      </c>
      <c r="B487" s="100">
        <v>3</v>
      </c>
      <c r="C487" s="100">
        <v>3</v>
      </c>
      <c r="D487" s="100">
        <v>2</v>
      </c>
      <c r="E487" s="100" t="str">
        <f t="shared" si="21"/>
        <v>332</v>
      </c>
      <c r="F487" s="100">
        <v>1</v>
      </c>
      <c r="G487" s="100" t="s">
        <v>433</v>
      </c>
    </row>
    <row r="488" spans="1:7">
      <c r="A488" s="100">
        <v>27</v>
      </c>
      <c r="B488" s="100">
        <v>3</v>
      </c>
      <c r="C488" s="100">
        <v>3</v>
      </c>
      <c r="D488" s="100">
        <v>3</v>
      </c>
      <c r="E488" s="100" t="str">
        <f t="shared" si="21"/>
        <v>333</v>
      </c>
      <c r="F488" s="100">
        <v>1</v>
      </c>
      <c r="G488" s="100" t="s">
        <v>432</v>
      </c>
    </row>
    <row r="489" spans="1:7">
      <c r="A489" s="100">
        <v>28</v>
      </c>
      <c r="B489" s="100">
        <v>4</v>
      </c>
      <c r="C489" s="100">
        <v>1</v>
      </c>
      <c r="D489" s="100">
        <v>1</v>
      </c>
      <c r="E489" s="100" t="str">
        <f t="shared" si="21"/>
        <v>411</v>
      </c>
      <c r="F489" s="100">
        <v>1</v>
      </c>
      <c r="G489" s="100" t="s">
        <v>433</v>
      </c>
    </row>
    <row r="490" spans="1:7">
      <c r="A490" s="100">
        <v>29</v>
      </c>
      <c r="B490" s="100">
        <v>4</v>
      </c>
      <c r="C490" s="100">
        <v>1</v>
      </c>
      <c r="D490" s="100">
        <v>2</v>
      </c>
      <c r="E490" s="100" t="str">
        <f t="shared" si="21"/>
        <v>412</v>
      </c>
      <c r="F490" s="100">
        <v>1</v>
      </c>
      <c r="G490" s="100" t="s">
        <v>433</v>
      </c>
    </row>
    <row r="491" spans="1:7">
      <c r="A491" s="100">
        <v>30</v>
      </c>
      <c r="B491" s="100">
        <v>4</v>
      </c>
      <c r="C491" s="100">
        <v>1</v>
      </c>
      <c r="D491" s="100">
        <v>3</v>
      </c>
      <c r="E491" s="100" t="str">
        <f t="shared" si="21"/>
        <v>413</v>
      </c>
      <c r="F491" s="100">
        <v>1</v>
      </c>
      <c r="G491" s="100" t="s">
        <v>433</v>
      </c>
    </row>
    <row r="492" spans="1:7">
      <c r="A492" s="100">
        <v>31</v>
      </c>
      <c r="B492" s="100">
        <v>4</v>
      </c>
      <c r="C492" s="100">
        <v>2</v>
      </c>
      <c r="D492" s="100">
        <v>1</v>
      </c>
      <c r="E492" s="100" t="str">
        <f t="shared" si="21"/>
        <v>421</v>
      </c>
      <c r="F492" s="100">
        <v>1</v>
      </c>
      <c r="G492" s="100" t="s">
        <v>433</v>
      </c>
    </row>
    <row r="493" spans="1:7">
      <c r="A493" s="100">
        <v>32</v>
      </c>
      <c r="B493" s="100">
        <v>4</v>
      </c>
      <c r="C493" s="100">
        <v>2</v>
      </c>
      <c r="D493" s="100">
        <v>2</v>
      </c>
      <c r="E493" s="100" t="str">
        <f t="shared" si="21"/>
        <v>422</v>
      </c>
      <c r="F493" s="100">
        <v>1</v>
      </c>
      <c r="G493" s="100" t="s">
        <v>433</v>
      </c>
    </row>
    <row r="494" spans="1:7">
      <c r="A494" s="100">
        <v>33</v>
      </c>
      <c r="B494" s="100">
        <v>4</v>
      </c>
      <c r="C494" s="100">
        <v>2</v>
      </c>
      <c r="D494" s="100">
        <v>3</v>
      </c>
      <c r="E494" s="100" t="str">
        <f t="shared" si="21"/>
        <v>423</v>
      </c>
      <c r="F494" s="100">
        <v>1</v>
      </c>
      <c r="G494" s="100" t="s">
        <v>432</v>
      </c>
    </row>
    <row r="495" spans="1:7">
      <c r="A495" s="100">
        <v>34</v>
      </c>
      <c r="B495" s="100">
        <v>4</v>
      </c>
      <c r="C495" s="100">
        <v>3</v>
      </c>
      <c r="D495" s="100">
        <v>1</v>
      </c>
      <c r="E495" s="100" t="str">
        <f t="shared" si="21"/>
        <v>431</v>
      </c>
      <c r="F495" s="100">
        <v>2</v>
      </c>
      <c r="G495" s="100" t="s">
        <v>432</v>
      </c>
    </row>
    <row r="496" spans="1:7">
      <c r="A496" s="100">
        <v>35</v>
      </c>
      <c r="B496" s="100">
        <v>4</v>
      </c>
      <c r="C496" s="100">
        <v>3</v>
      </c>
      <c r="D496" s="100">
        <v>2</v>
      </c>
      <c r="E496" s="100" t="str">
        <f t="shared" si="21"/>
        <v>432</v>
      </c>
      <c r="F496" s="100">
        <v>2</v>
      </c>
      <c r="G496" s="100" t="s">
        <v>432</v>
      </c>
    </row>
    <row r="497" spans="1:7">
      <c r="A497" s="100">
        <v>36</v>
      </c>
      <c r="B497" s="100">
        <v>4</v>
      </c>
      <c r="C497" s="100">
        <v>3</v>
      </c>
      <c r="D497" s="100">
        <v>3</v>
      </c>
      <c r="E497" s="100" t="str">
        <f t="shared" si="21"/>
        <v>433</v>
      </c>
      <c r="F497" s="100">
        <v>3</v>
      </c>
      <c r="G497" s="100" t="s">
        <v>432</v>
      </c>
    </row>
    <row r="499" spans="1:7">
      <c r="A499" s="100" t="s">
        <v>456</v>
      </c>
      <c r="B499" s="100" t="s">
        <v>454</v>
      </c>
      <c r="C499" s="100" t="s">
        <v>453</v>
      </c>
      <c r="D499" s="99" t="s">
        <v>361</v>
      </c>
      <c r="E499" s="100" t="s">
        <v>455</v>
      </c>
    </row>
    <row r="500" spans="1:7">
      <c r="A500" s="100">
        <v>1</v>
      </c>
      <c r="B500" s="100">
        <v>1</v>
      </c>
      <c r="C500" s="100">
        <v>1</v>
      </c>
      <c r="D500" s="100" t="str">
        <f>CONCATENATE(B500,C500)</f>
        <v>11</v>
      </c>
      <c r="E500" s="100">
        <v>1</v>
      </c>
      <c r="F500" s="100" t="s">
        <v>432</v>
      </c>
    </row>
    <row r="501" spans="1:7">
      <c r="A501" s="100">
        <v>2</v>
      </c>
      <c r="B501" s="100">
        <v>1</v>
      </c>
      <c r="C501" s="100">
        <v>2</v>
      </c>
      <c r="D501" s="100" t="str">
        <f>CONCATENATE(B501,C501)</f>
        <v>12</v>
      </c>
      <c r="E501" s="100">
        <v>1</v>
      </c>
      <c r="F501" s="100" t="s">
        <v>433</v>
      </c>
    </row>
    <row r="502" spans="1:7">
      <c r="A502" s="100">
        <v>3</v>
      </c>
      <c r="B502" s="100">
        <v>2</v>
      </c>
      <c r="C502" s="100">
        <v>1</v>
      </c>
      <c r="D502" s="100" t="str">
        <f>CONCATENATE(B502,C502)</f>
        <v>21</v>
      </c>
      <c r="E502" s="100">
        <v>1</v>
      </c>
      <c r="F502" s="100" t="s">
        <v>432</v>
      </c>
    </row>
    <row r="503" spans="1:7">
      <c r="A503" s="100">
        <v>4</v>
      </c>
      <c r="B503" s="100">
        <v>2</v>
      </c>
      <c r="C503" s="100">
        <v>2</v>
      </c>
      <c r="D503" s="100" t="str">
        <f>CONCATENATE(B503,C503)</f>
        <v>22</v>
      </c>
      <c r="E503" s="100">
        <v>2</v>
      </c>
      <c r="F503" s="100" t="s">
        <v>432</v>
      </c>
    </row>
    <row r="505" spans="1:7">
      <c r="A505" s="100" t="s">
        <v>458</v>
      </c>
      <c r="B505" s="100" t="s">
        <v>36</v>
      </c>
      <c r="C505" s="100" t="s">
        <v>342</v>
      </c>
      <c r="D505" s="99" t="s">
        <v>361</v>
      </c>
      <c r="E505" s="100" t="s">
        <v>457</v>
      </c>
    </row>
    <row r="506" spans="1:7">
      <c r="A506" s="100">
        <v>1</v>
      </c>
      <c r="B506" s="100">
        <v>1</v>
      </c>
      <c r="C506" s="100">
        <v>1</v>
      </c>
      <c r="D506" s="100" t="str">
        <f t="shared" ref="D506:D511" si="22">CONCATENATE(B506,C506)</f>
        <v>11</v>
      </c>
      <c r="E506" s="100">
        <v>1</v>
      </c>
      <c r="F506" s="100" t="s">
        <v>432</v>
      </c>
    </row>
    <row r="507" spans="1:7">
      <c r="A507" s="100">
        <v>2</v>
      </c>
      <c r="B507" s="100">
        <v>1</v>
      </c>
      <c r="C507" s="100">
        <v>2</v>
      </c>
      <c r="D507" s="100" t="str">
        <f t="shared" si="22"/>
        <v>12</v>
      </c>
      <c r="E507" s="100">
        <v>2</v>
      </c>
      <c r="F507" s="100" t="s">
        <v>433</v>
      </c>
    </row>
    <row r="508" spans="1:7">
      <c r="A508" s="100">
        <v>3</v>
      </c>
      <c r="B508" s="100">
        <v>2</v>
      </c>
      <c r="C508" s="100">
        <v>1</v>
      </c>
      <c r="D508" s="100" t="str">
        <f t="shared" si="22"/>
        <v>21</v>
      </c>
      <c r="E508" s="100">
        <v>2</v>
      </c>
      <c r="F508" s="100" t="s">
        <v>433</v>
      </c>
    </row>
    <row r="509" spans="1:7">
      <c r="A509" s="100">
        <v>4</v>
      </c>
      <c r="B509" s="100">
        <v>2</v>
      </c>
      <c r="C509" s="100">
        <v>2</v>
      </c>
      <c r="D509" s="100" t="str">
        <f t="shared" si="22"/>
        <v>22</v>
      </c>
      <c r="E509" s="100">
        <v>3</v>
      </c>
      <c r="F509" s="100" t="s">
        <v>432</v>
      </c>
    </row>
    <row r="510" spans="1:7">
      <c r="A510" s="100">
        <v>5</v>
      </c>
      <c r="B510" s="100">
        <v>3</v>
      </c>
      <c r="C510" s="100">
        <v>1</v>
      </c>
      <c r="D510" s="100" t="str">
        <f t="shared" si="22"/>
        <v>31</v>
      </c>
      <c r="E510" s="100">
        <v>3</v>
      </c>
      <c r="F510" s="100" t="s">
        <v>433</v>
      </c>
    </row>
    <row r="511" spans="1:7">
      <c r="A511" s="100">
        <v>6</v>
      </c>
      <c r="B511" s="100">
        <v>3</v>
      </c>
      <c r="C511" s="100">
        <v>2</v>
      </c>
      <c r="D511" s="100" t="str">
        <f t="shared" si="22"/>
        <v>32</v>
      </c>
      <c r="E511" s="100">
        <v>3</v>
      </c>
      <c r="F511" s="100" t="s">
        <v>432</v>
      </c>
    </row>
    <row r="513" spans="1:6">
      <c r="A513" s="100" t="s">
        <v>461</v>
      </c>
      <c r="B513" s="100" t="s">
        <v>17</v>
      </c>
      <c r="C513" s="100" t="s">
        <v>457</v>
      </c>
      <c r="D513" s="99" t="s">
        <v>361</v>
      </c>
      <c r="E513" s="100" t="s">
        <v>460</v>
      </c>
    </row>
    <row r="514" spans="1:6">
      <c r="A514" s="100">
        <v>1</v>
      </c>
      <c r="B514" s="100">
        <v>1</v>
      </c>
      <c r="C514" s="100">
        <v>1</v>
      </c>
      <c r="D514" s="100" t="str">
        <f>CONCATENATE(B514,C514)</f>
        <v>11</v>
      </c>
      <c r="E514" s="100">
        <v>1</v>
      </c>
      <c r="F514" s="100" t="s">
        <v>432</v>
      </c>
    </row>
    <row r="515" spans="1:6">
      <c r="A515" s="100">
        <v>2</v>
      </c>
      <c r="B515" s="100">
        <v>1</v>
      </c>
      <c r="C515" s="100">
        <v>2</v>
      </c>
      <c r="D515" s="100" t="str">
        <f t="shared" ref="D515:D528" si="23">CONCATENATE(B515,C515)</f>
        <v>12</v>
      </c>
      <c r="E515" s="100">
        <v>1</v>
      </c>
      <c r="F515" s="100" t="s">
        <v>433</v>
      </c>
    </row>
    <row r="516" spans="1:6">
      <c r="A516" s="100">
        <v>3</v>
      </c>
      <c r="B516" s="100">
        <v>1</v>
      </c>
      <c r="C516" s="100">
        <v>3</v>
      </c>
      <c r="D516" s="100" t="str">
        <f t="shared" si="23"/>
        <v>13</v>
      </c>
      <c r="E516" s="100">
        <v>2</v>
      </c>
      <c r="F516" s="100" t="s">
        <v>433</v>
      </c>
    </row>
    <row r="517" spans="1:6">
      <c r="A517" s="100">
        <v>4</v>
      </c>
      <c r="B517" s="100">
        <v>2</v>
      </c>
      <c r="C517" s="100">
        <v>1</v>
      </c>
      <c r="D517" s="100" t="str">
        <f t="shared" si="23"/>
        <v>21</v>
      </c>
      <c r="E517" s="100">
        <v>1</v>
      </c>
      <c r="F517" s="100" t="s">
        <v>432</v>
      </c>
    </row>
    <row r="518" spans="1:6">
      <c r="A518" s="100">
        <v>5</v>
      </c>
      <c r="B518" s="100">
        <v>2</v>
      </c>
      <c r="C518" s="100">
        <v>2</v>
      </c>
      <c r="D518" s="100" t="str">
        <f t="shared" si="23"/>
        <v>22</v>
      </c>
      <c r="E518" s="100">
        <v>2</v>
      </c>
      <c r="F518" s="100" t="s">
        <v>433</v>
      </c>
    </row>
    <row r="519" spans="1:6">
      <c r="A519" s="100">
        <v>6</v>
      </c>
      <c r="B519" s="100">
        <v>2</v>
      </c>
      <c r="C519" s="100">
        <v>3</v>
      </c>
      <c r="D519" s="100" t="str">
        <f t="shared" si="23"/>
        <v>23</v>
      </c>
      <c r="E519" s="100">
        <v>3</v>
      </c>
      <c r="F519" s="100" t="s">
        <v>433</v>
      </c>
    </row>
    <row r="520" spans="1:6">
      <c r="A520" s="100">
        <v>7</v>
      </c>
      <c r="B520" s="100">
        <v>3</v>
      </c>
      <c r="C520" s="100">
        <v>1</v>
      </c>
      <c r="D520" s="100" t="str">
        <f t="shared" si="23"/>
        <v>31</v>
      </c>
      <c r="E520" s="100">
        <v>2</v>
      </c>
      <c r="F520" s="100" t="s">
        <v>433</v>
      </c>
    </row>
    <row r="521" spans="1:6">
      <c r="A521" s="100">
        <v>8</v>
      </c>
      <c r="B521" s="100">
        <v>3</v>
      </c>
      <c r="C521" s="100">
        <v>2</v>
      </c>
      <c r="D521" s="100" t="str">
        <f t="shared" si="23"/>
        <v>32</v>
      </c>
      <c r="E521" s="100">
        <v>3</v>
      </c>
      <c r="F521" s="100" t="s">
        <v>433</v>
      </c>
    </row>
    <row r="522" spans="1:6">
      <c r="A522" s="100">
        <v>9</v>
      </c>
      <c r="B522" s="100">
        <v>3</v>
      </c>
      <c r="C522" s="100">
        <v>3</v>
      </c>
      <c r="D522" s="100" t="str">
        <f t="shared" si="23"/>
        <v>33</v>
      </c>
      <c r="E522" s="100">
        <v>4</v>
      </c>
      <c r="F522" s="100" t="s">
        <v>433</v>
      </c>
    </row>
    <row r="523" spans="1:6">
      <c r="A523" s="100">
        <v>10</v>
      </c>
      <c r="B523" s="100">
        <v>4</v>
      </c>
      <c r="C523" s="100">
        <v>1</v>
      </c>
      <c r="D523" s="100" t="str">
        <f t="shared" si="23"/>
        <v>41</v>
      </c>
      <c r="E523" s="100">
        <v>3</v>
      </c>
      <c r="F523" s="100" t="s">
        <v>433</v>
      </c>
    </row>
    <row r="524" spans="1:6">
      <c r="A524" s="100">
        <v>11</v>
      </c>
      <c r="B524" s="100">
        <v>4</v>
      </c>
      <c r="C524" s="100">
        <v>2</v>
      </c>
      <c r="D524" s="100" t="str">
        <f t="shared" si="23"/>
        <v>42</v>
      </c>
      <c r="E524" s="100">
        <v>4</v>
      </c>
      <c r="F524" s="100" t="s">
        <v>433</v>
      </c>
    </row>
    <row r="525" spans="1:6">
      <c r="A525" s="100">
        <v>12</v>
      </c>
      <c r="B525" s="100">
        <v>4</v>
      </c>
      <c r="C525" s="100">
        <v>3</v>
      </c>
      <c r="D525" s="100" t="str">
        <f t="shared" si="23"/>
        <v>43</v>
      </c>
      <c r="E525" s="100">
        <v>5</v>
      </c>
      <c r="F525" s="100" t="s">
        <v>432</v>
      </c>
    </row>
    <row r="526" spans="1:6">
      <c r="A526" s="100">
        <v>13</v>
      </c>
      <c r="B526" s="100">
        <v>5</v>
      </c>
      <c r="C526" s="100">
        <v>1</v>
      </c>
      <c r="D526" s="100" t="str">
        <f t="shared" si="23"/>
        <v>51</v>
      </c>
      <c r="E526" s="100">
        <v>4</v>
      </c>
      <c r="F526" s="100" t="s">
        <v>433</v>
      </c>
    </row>
    <row r="527" spans="1:6">
      <c r="A527" s="100">
        <v>14</v>
      </c>
      <c r="B527" s="100">
        <v>5</v>
      </c>
      <c r="C527" s="100">
        <v>2</v>
      </c>
      <c r="D527" s="100" t="str">
        <f t="shared" si="23"/>
        <v>52</v>
      </c>
      <c r="E527" s="100">
        <v>5</v>
      </c>
      <c r="F527" s="100" t="s">
        <v>433</v>
      </c>
    </row>
    <row r="528" spans="1:6">
      <c r="A528" s="100">
        <v>15</v>
      </c>
      <c r="B528" s="100">
        <v>5</v>
      </c>
      <c r="C528" s="100">
        <v>3</v>
      </c>
      <c r="D528" s="100" t="str">
        <f t="shared" si="23"/>
        <v>53</v>
      </c>
      <c r="E528" s="100">
        <v>5</v>
      </c>
      <c r="F528" s="100" t="s">
        <v>432</v>
      </c>
    </row>
    <row r="530" spans="1:6">
      <c r="A530" s="100" t="s">
        <v>464</v>
      </c>
      <c r="B530" s="100" t="s">
        <v>373</v>
      </c>
      <c r="C530" s="100" t="s">
        <v>17</v>
      </c>
      <c r="D530" s="99" t="s">
        <v>361</v>
      </c>
      <c r="E530" s="100" t="s">
        <v>463</v>
      </c>
    </row>
    <row r="531" spans="1:6">
      <c r="A531" s="100">
        <v>1</v>
      </c>
      <c r="B531" s="100">
        <v>1</v>
      </c>
      <c r="C531" s="100">
        <v>1</v>
      </c>
      <c r="D531" s="100" t="str">
        <f>CONCATENATE(B531,C531)</f>
        <v>11</v>
      </c>
      <c r="E531" s="100">
        <v>1</v>
      </c>
      <c r="F531" s="100" t="s">
        <v>432</v>
      </c>
    </row>
    <row r="532" spans="1:6">
      <c r="A532" s="100">
        <v>2</v>
      </c>
      <c r="B532" s="100">
        <v>1</v>
      </c>
      <c r="C532" s="100">
        <v>2</v>
      </c>
      <c r="D532" s="100" t="str">
        <f t="shared" ref="D532:D550" si="24">CONCATENATE(B532,C532)</f>
        <v>12</v>
      </c>
      <c r="E532" s="100">
        <v>2</v>
      </c>
      <c r="F532" s="100" t="s">
        <v>433</v>
      </c>
    </row>
    <row r="533" spans="1:6">
      <c r="A533" s="100">
        <v>3</v>
      </c>
      <c r="B533" s="100">
        <v>1</v>
      </c>
      <c r="C533" s="100">
        <v>3</v>
      </c>
      <c r="D533" s="100" t="str">
        <f t="shared" si="24"/>
        <v>13</v>
      </c>
      <c r="E533" s="100">
        <v>3</v>
      </c>
      <c r="F533" s="100" t="s">
        <v>433</v>
      </c>
    </row>
    <row r="534" spans="1:6">
      <c r="A534" s="100">
        <v>4</v>
      </c>
      <c r="B534" s="100">
        <v>1</v>
      </c>
      <c r="C534" s="100">
        <v>4</v>
      </c>
      <c r="D534" s="100" t="str">
        <f t="shared" si="24"/>
        <v>14</v>
      </c>
      <c r="E534" s="100">
        <v>3</v>
      </c>
      <c r="F534" s="100" t="s">
        <v>433</v>
      </c>
    </row>
    <row r="535" spans="1:6">
      <c r="A535" s="100">
        <v>5</v>
      </c>
      <c r="B535" s="100">
        <v>1</v>
      </c>
      <c r="C535" s="100">
        <v>5</v>
      </c>
      <c r="D535" s="100" t="str">
        <f t="shared" si="24"/>
        <v>15</v>
      </c>
      <c r="E535" s="100">
        <v>4</v>
      </c>
      <c r="F535" s="100" t="s">
        <v>433</v>
      </c>
    </row>
    <row r="536" spans="1:6">
      <c r="A536" s="100">
        <v>6</v>
      </c>
      <c r="B536" s="100">
        <v>2</v>
      </c>
      <c r="C536" s="100">
        <v>1</v>
      </c>
      <c r="D536" s="100" t="str">
        <f t="shared" si="24"/>
        <v>21</v>
      </c>
      <c r="E536" s="100">
        <v>1</v>
      </c>
      <c r="F536" s="100" t="s">
        <v>433</v>
      </c>
    </row>
    <row r="537" spans="1:6">
      <c r="A537" s="100">
        <v>7</v>
      </c>
      <c r="B537" s="100">
        <v>2</v>
      </c>
      <c r="C537" s="100">
        <v>2</v>
      </c>
      <c r="D537" s="100" t="str">
        <f t="shared" si="24"/>
        <v>22</v>
      </c>
      <c r="E537" s="100">
        <v>2</v>
      </c>
      <c r="F537" s="100" t="s">
        <v>433</v>
      </c>
    </row>
    <row r="538" spans="1:6">
      <c r="A538" s="100">
        <v>8</v>
      </c>
      <c r="B538" s="100">
        <v>2</v>
      </c>
      <c r="C538" s="100">
        <v>3</v>
      </c>
      <c r="D538" s="100" t="str">
        <f t="shared" si="24"/>
        <v>23</v>
      </c>
      <c r="E538" s="100">
        <v>3</v>
      </c>
      <c r="F538" s="100" t="s">
        <v>433</v>
      </c>
    </row>
    <row r="539" spans="1:6">
      <c r="A539" s="100">
        <v>9</v>
      </c>
      <c r="B539" s="100">
        <v>2</v>
      </c>
      <c r="C539" s="100">
        <v>4</v>
      </c>
      <c r="D539" s="100" t="str">
        <f t="shared" si="24"/>
        <v>24</v>
      </c>
      <c r="E539" s="100">
        <v>4</v>
      </c>
      <c r="F539" s="100" t="s">
        <v>433</v>
      </c>
    </row>
    <row r="540" spans="1:6">
      <c r="A540" s="100">
        <v>10</v>
      </c>
      <c r="B540" s="100">
        <v>2</v>
      </c>
      <c r="C540" s="100">
        <v>5</v>
      </c>
      <c r="D540" s="100" t="str">
        <f t="shared" si="24"/>
        <v>25</v>
      </c>
      <c r="E540" s="100">
        <v>4</v>
      </c>
      <c r="F540" s="100" t="s">
        <v>433</v>
      </c>
    </row>
    <row r="541" spans="1:6">
      <c r="A541" s="100">
        <v>11</v>
      </c>
      <c r="B541" s="100">
        <v>3</v>
      </c>
      <c r="C541" s="100">
        <v>1</v>
      </c>
      <c r="D541" s="100" t="str">
        <f t="shared" si="24"/>
        <v>31</v>
      </c>
      <c r="E541" s="100">
        <v>2</v>
      </c>
      <c r="F541" s="100" t="s">
        <v>433</v>
      </c>
    </row>
    <row r="542" spans="1:6">
      <c r="A542" s="100">
        <v>12</v>
      </c>
      <c r="B542" s="100">
        <v>3</v>
      </c>
      <c r="C542" s="100">
        <v>2</v>
      </c>
      <c r="D542" s="100" t="str">
        <f t="shared" si="24"/>
        <v>32</v>
      </c>
      <c r="E542" s="100">
        <v>2</v>
      </c>
      <c r="F542" s="100" t="s">
        <v>433</v>
      </c>
    </row>
    <row r="543" spans="1:6">
      <c r="A543" s="100">
        <v>13</v>
      </c>
      <c r="B543" s="100">
        <v>3</v>
      </c>
      <c r="C543" s="100">
        <v>3</v>
      </c>
      <c r="D543" s="100" t="str">
        <f t="shared" si="24"/>
        <v>33</v>
      </c>
      <c r="E543" s="100">
        <v>3</v>
      </c>
      <c r="F543" s="100" t="s">
        <v>433</v>
      </c>
    </row>
    <row r="544" spans="1:6">
      <c r="A544" s="100">
        <v>14</v>
      </c>
      <c r="B544" s="100">
        <v>3</v>
      </c>
      <c r="C544" s="100">
        <v>4</v>
      </c>
      <c r="D544" s="100" t="str">
        <f t="shared" si="24"/>
        <v>34</v>
      </c>
      <c r="E544" s="100">
        <v>4</v>
      </c>
      <c r="F544" s="100" t="s">
        <v>433</v>
      </c>
    </row>
    <row r="545" spans="1:7">
      <c r="A545" s="100">
        <v>15</v>
      </c>
      <c r="B545" s="100">
        <v>3</v>
      </c>
      <c r="C545" s="100">
        <v>5</v>
      </c>
      <c r="D545" s="100" t="str">
        <f t="shared" si="24"/>
        <v>35</v>
      </c>
      <c r="E545" s="100">
        <v>5</v>
      </c>
      <c r="F545" s="100" t="s">
        <v>433</v>
      </c>
    </row>
    <row r="546" spans="1:7">
      <c r="A546" s="100">
        <v>16</v>
      </c>
      <c r="B546" s="100">
        <v>4</v>
      </c>
      <c r="C546" s="100">
        <v>1</v>
      </c>
      <c r="D546" s="100" t="str">
        <f t="shared" si="24"/>
        <v>41</v>
      </c>
      <c r="E546" s="100">
        <v>2</v>
      </c>
      <c r="F546" s="100" t="s">
        <v>433</v>
      </c>
    </row>
    <row r="547" spans="1:7">
      <c r="A547" s="100">
        <v>17</v>
      </c>
      <c r="B547" s="100">
        <v>4</v>
      </c>
      <c r="C547" s="100">
        <v>2</v>
      </c>
      <c r="D547" s="100" t="str">
        <f t="shared" si="24"/>
        <v>42</v>
      </c>
      <c r="E547" s="100">
        <v>3</v>
      </c>
      <c r="F547" s="100" t="s">
        <v>433</v>
      </c>
    </row>
    <row r="548" spans="1:7">
      <c r="A548" s="100">
        <v>18</v>
      </c>
      <c r="B548" s="100">
        <v>4</v>
      </c>
      <c r="C548" s="100">
        <v>3</v>
      </c>
      <c r="D548" s="100" t="str">
        <f t="shared" si="24"/>
        <v>43</v>
      </c>
      <c r="E548" s="100">
        <v>3</v>
      </c>
      <c r="F548" s="100" t="s">
        <v>433</v>
      </c>
    </row>
    <row r="549" spans="1:7">
      <c r="A549" s="100">
        <v>19</v>
      </c>
      <c r="B549" s="100">
        <v>4</v>
      </c>
      <c r="C549" s="100">
        <v>4</v>
      </c>
      <c r="D549" s="100" t="str">
        <f t="shared" si="24"/>
        <v>44</v>
      </c>
      <c r="E549" s="100">
        <v>4</v>
      </c>
      <c r="F549" s="100" t="s">
        <v>433</v>
      </c>
    </row>
    <row r="550" spans="1:7">
      <c r="A550" s="100">
        <v>20</v>
      </c>
      <c r="B550" s="100">
        <v>4</v>
      </c>
      <c r="C550" s="100">
        <v>5</v>
      </c>
      <c r="D550" s="100" t="str">
        <f t="shared" si="24"/>
        <v>45</v>
      </c>
      <c r="E550" s="100">
        <v>5</v>
      </c>
      <c r="F550" s="100" t="s">
        <v>432</v>
      </c>
    </row>
    <row r="552" spans="1:7">
      <c r="A552" s="100" t="s">
        <v>466</v>
      </c>
      <c r="B552" s="100" t="s">
        <v>438</v>
      </c>
      <c r="C552" s="100" t="s">
        <v>462</v>
      </c>
      <c r="D552" s="100" t="s">
        <v>460</v>
      </c>
      <c r="E552" s="99" t="s">
        <v>361</v>
      </c>
      <c r="F552" s="100" t="s">
        <v>465</v>
      </c>
    </row>
    <row r="553" spans="1:7">
      <c r="A553" s="100">
        <v>1</v>
      </c>
      <c r="B553" s="100">
        <v>1</v>
      </c>
      <c r="C553" s="100">
        <v>1</v>
      </c>
      <c r="D553" s="100">
        <v>1</v>
      </c>
      <c r="E553" s="100" t="str">
        <f>CONCATENATE(B553,C553,D553)</f>
        <v>111</v>
      </c>
      <c r="F553" s="100">
        <v>1</v>
      </c>
      <c r="G553" s="100" t="s">
        <v>432</v>
      </c>
    </row>
    <row r="554" spans="1:7">
      <c r="A554" s="100">
        <v>2</v>
      </c>
      <c r="B554" s="100">
        <v>1</v>
      </c>
      <c r="C554" s="100">
        <v>1</v>
      </c>
      <c r="D554" s="100">
        <v>2</v>
      </c>
      <c r="E554" s="100" t="str">
        <f t="shared" ref="E554:E617" si="25">CONCATENATE(B554,C554,D554)</f>
        <v>112</v>
      </c>
      <c r="F554" s="100">
        <v>1</v>
      </c>
      <c r="G554" s="100" t="s">
        <v>432</v>
      </c>
    </row>
    <row r="555" spans="1:7">
      <c r="A555" s="100">
        <v>3</v>
      </c>
      <c r="B555" s="100">
        <v>1</v>
      </c>
      <c r="C555" s="100">
        <v>1</v>
      </c>
      <c r="D555" s="100">
        <v>3</v>
      </c>
      <c r="E555" s="100" t="str">
        <f t="shared" si="25"/>
        <v>113</v>
      </c>
      <c r="F555" s="100">
        <v>1</v>
      </c>
      <c r="G555" s="100" t="s">
        <v>432</v>
      </c>
    </row>
    <row r="556" spans="1:7">
      <c r="A556" s="100">
        <v>4</v>
      </c>
      <c r="B556" s="100">
        <v>1</v>
      </c>
      <c r="C556" s="100">
        <v>1</v>
      </c>
      <c r="D556" s="100">
        <v>4</v>
      </c>
      <c r="E556" s="100" t="str">
        <f t="shared" si="25"/>
        <v>114</v>
      </c>
      <c r="F556" s="100">
        <v>1</v>
      </c>
      <c r="G556" s="100" t="s">
        <v>432</v>
      </c>
    </row>
    <row r="557" spans="1:7">
      <c r="A557" s="100">
        <v>5</v>
      </c>
      <c r="B557" s="100">
        <v>1</v>
      </c>
      <c r="C557" s="100">
        <v>1</v>
      </c>
      <c r="D557" s="100">
        <v>5</v>
      </c>
      <c r="E557" s="100" t="str">
        <f t="shared" si="25"/>
        <v>115</v>
      </c>
      <c r="F557" s="100">
        <v>1</v>
      </c>
      <c r="G557" s="100" t="s">
        <v>432</v>
      </c>
    </row>
    <row r="558" spans="1:7">
      <c r="A558" s="100">
        <v>6</v>
      </c>
      <c r="B558" s="100">
        <v>1</v>
      </c>
      <c r="C558" s="100">
        <v>2</v>
      </c>
      <c r="D558" s="100">
        <v>1</v>
      </c>
      <c r="E558" s="100" t="str">
        <f t="shared" si="25"/>
        <v>121</v>
      </c>
      <c r="F558" s="100">
        <v>2</v>
      </c>
      <c r="G558" s="100" t="s">
        <v>432</v>
      </c>
    </row>
    <row r="559" spans="1:7">
      <c r="A559" s="100">
        <v>7</v>
      </c>
      <c r="B559" s="100">
        <v>1</v>
      </c>
      <c r="C559" s="100">
        <v>2</v>
      </c>
      <c r="D559" s="100">
        <v>2</v>
      </c>
      <c r="E559" s="100" t="str">
        <f t="shared" si="25"/>
        <v>122</v>
      </c>
      <c r="F559" s="100">
        <v>2</v>
      </c>
      <c r="G559" s="100" t="s">
        <v>432</v>
      </c>
    </row>
    <row r="560" spans="1:7">
      <c r="A560" s="100">
        <v>8</v>
      </c>
      <c r="B560" s="100">
        <v>1</v>
      </c>
      <c r="C560" s="100">
        <v>2</v>
      </c>
      <c r="D560" s="100">
        <v>3</v>
      </c>
      <c r="E560" s="100" t="str">
        <f t="shared" si="25"/>
        <v>123</v>
      </c>
      <c r="F560" s="100">
        <v>2</v>
      </c>
      <c r="G560" s="100" t="s">
        <v>432</v>
      </c>
    </row>
    <row r="561" spans="1:7">
      <c r="A561" s="100">
        <v>9</v>
      </c>
      <c r="B561" s="100">
        <v>1</v>
      </c>
      <c r="C561" s="100">
        <v>2</v>
      </c>
      <c r="D561" s="100">
        <v>4</v>
      </c>
      <c r="E561" s="100" t="str">
        <f t="shared" si="25"/>
        <v>124</v>
      </c>
      <c r="F561" s="100">
        <v>2</v>
      </c>
      <c r="G561" s="100" t="s">
        <v>432</v>
      </c>
    </row>
    <row r="562" spans="1:7">
      <c r="A562" s="100">
        <v>10</v>
      </c>
      <c r="B562" s="100">
        <v>1</v>
      </c>
      <c r="C562" s="100">
        <v>2</v>
      </c>
      <c r="D562" s="100">
        <v>5</v>
      </c>
      <c r="E562" s="100" t="str">
        <f t="shared" si="25"/>
        <v>125</v>
      </c>
      <c r="F562" s="100">
        <v>2</v>
      </c>
      <c r="G562" s="100" t="s">
        <v>432</v>
      </c>
    </row>
    <row r="563" spans="1:7">
      <c r="A563" s="100">
        <v>11</v>
      </c>
      <c r="B563" s="100">
        <v>1</v>
      </c>
      <c r="C563" s="100">
        <v>3</v>
      </c>
      <c r="D563" s="100">
        <v>1</v>
      </c>
      <c r="E563" s="100" t="str">
        <f t="shared" si="25"/>
        <v>131</v>
      </c>
      <c r="F563" s="100">
        <v>3</v>
      </c>
      <c r="G563" s="100" t="s">
        <v>432</v>
      </c>
    </row>
    <row r="564" spans="1:7">
      <c r="A564" s="100">
        <v>12</v>
      </c>
      <c r="B564" s="100">
        <v>1</v>
      </c>
      <c r="C564" s="100">
        <v>3</v>
      </c>
      <c r="D564" s="100">
        <v>2</v>
      </c>
      <c r="E564" s="100" t="str">
        <f t="shared" si="25"/>
        <v>132</v>
      </c>
      <c r="F564" s="100">
        <v>3</v>
      </c>
      <c r="G564" s="100" t="s">
        <v>432</v>
      </c>
    </row>
    <row r="565" spans="1:7">
      <c r="A565" s="100">
        <v>13</v>
      </c>
      <c r="B565" s="100">
        <v>1</v>
      </c>
      <c r="C565" s="100">
        <v>3</v>
      </c>
      <c r="D565" s="100">
        <v>3</v>
      </c>
      <c r="E565" s="100" t="str">
        <f t="shared" si="25"/>
        <v>133</v>
      </c>
      <c r="F565" s="100">
        <v>3</v>
      </c>
      <c r="G565" s="100" t="s">
        <v>432</v>
      </c>
    </row>
    <row r="566" spans="1:7">
      <c r="A566" s="100">
        <v>14</v>
      </c>
      <c r="B566" s="100">
        <v>1</v>
      </c>
      <c r="C566" s="100">
        <v>3</v>
      </c>
      <c r="D566" s="100">
        <v>4</v>
      </c>
      <c r="E566" s="100" t="str">
        <f t="shared" si="25"/>
        <v>134</v>
      </c>
      <c r="F566" s="100">
        <v>3</v>
      </c>
      <c r="G566" s="100" t="s">
        <v>432</v>
      </c>
    </row>
    <row r="567" spans="1:7">
      <c r="A567" s="100">
        <v>15</v>
      </c>
      <c r="B567" s="100">
        <v>1</v>
      </c>
      <c r="C567" s="100">
        <v>3</v>
      </c>
      <c r="D567" s="100">
        <v>5</v>
      </c>
      <c r="E567" s="100" t="str">
        <f t="shared" si="25"/>
        <v>135</v>
      </c>
      <c r="F567" s="100">
        <v>3</v>
      </c>
      <c r="G567" s="100" t="s">
        <v>432</v>
      </c>
    </row>
    <row r="568" spans="1:7">
      <c r="A568" s="100">
        <v>16</v>
      </c>
      <c r="B568" s="100">
        <v>1</v>
      </c>
      <c r="C568" s="100">
        <v>4</v>
      </c>
      <c r="D568" s="100">
        <v>1</v>
      </c>
      <c r="E568" s="100" t="str">
        <f t="shared" si="25"/>
        <v>141</v>
      </c>
      <c r="F568" s="100">
        <v>4</v>
      </c>
      <c r="G568" s="100" t="s">
        <v>432</v>
      </c>
    </row>
    <row r="569" spans="1:7">
      <c r="A569" s="100">
        <v>17</v>
      </c>
      <c r="B569" s="100">
        <v>1</v>
      </c>
      <c r="C569" s="100">
        <v>4</v>
      </c>
      <c r="D569" s="100">
        <v>2</v>
      </c>
      <c r="E569" s="100" t="str">
        <f t="shared" si="25"/>
        <v>142</v>
      </c>
      <c r="F569" s="100">
        <v>4</v>
      </c>
      <c r="G569" s="100" t="s">
        <v>432</v>
      </c>
    </row>
    <row r="570" spans="1:7">
      <c r="A570" s="100">
        <v>18</v>
      </c>
      <c r="B570" s="100">
        <v>1</v>
      </c>
      <c r="C570" s="100">
        <v>4</v>
      </c>
      <c r="D570" s="100">
        <v>3</v>
      </c>
      <c r="E570" s="100" t="str">
        <f t="shared" si="25"/>
        <v>143</v>
      </c>
      <c r="F570" s="100">
        <v>4</v>
      </c>
      <c r="G570" s="100" t="s">
        <v>432</v>
      </c>
    </row>
    <row r="571" spans="1:7">
      <c r="A571" s="100">
        <v>19</v>
      </c>
      <c r="B571" s="100">
        <v>1</v>
      </c>
      <c r="C571" s="100">
        <v>4</v>
      </c>
      <c r="D571" s="100">
        <v>4</v>
      </c>
      <c r="E571" s="100" t="str">
        <f t="shared" si="25"/>
        <v>144</v>
      </c>
      <c r="F571" s="100">
        <v>4</v>
      </c>
      <c r="G571" s="100" t="s">
        <v>432</v>
      </c>
    </row>
    <row r="572" spans="1:7">
      <c r="A572" s="100">
        <v>20</v>
      </c>
      <c r="B572" s="100">
        <v>1</v>
      </c>
      <c r="C572" s="100">
        <v>4</v>
      </c>
      <c r="D572" s="100">
        <v>5</v>
      </c>
      <c r="E572" s="100" t="str">
        <f t="shared" si="25"/>
        <v>145</v>
      </c>
      <c r="F572" s="100">
        <v>4</v>
      </c>
      <c r="G572" s="100" t="s">
        <v>432</v>
      </c>
    </row>
    <row r="573" spans="1:7">
      <c r="A573" s="100">
        <v>21</v>
      </c>
      <c r="B573" s="100">
        <v>1</v>
      </c>
      <c r="C573" s="100">
        <v>5</v>
      </c>
      <c r="D573" s="100">
        <v>1</v>
      </c>
      <c r="E573" s="100" t="str">
        <f t="shared" si="25"/>
        <v>151</v>
      </c>
      <c r="F573" s="100">
        <v>5</v>
      </c>
      <c r="G573" s="100" t="s">
        <v>432</v>
      </c>
    </row>
    <row r="574" spans="1:7">
      <c r="A574" s="100">
        <v>22</v>
      </c>
      <c r="B574" s="100">
        <v>1</v>
      </c>
      <c r="C574" s="100">
        <v>5</v>
      </c>
      <c r="D574" s="100">
        <v>2</v>
      </c>
      <c r="E574" s="100" t="str">
        <f t="shared" si="25"/>
        <v>152</v>
      </c>
      <c r="F574" s="100">
        <v>5</v>
      </c>
      <c r="G574" s="100" t="s">
        <v>432</v>
      </c>
    </row>
    <row r="575" spans="1:7">
      <c r="A575" s="100">
        <v>23</v>
      </c>
      <c r="B575" s="100">
        <v>1</v>
      </c>
      <c r="C575" s="100">
        <v>5</v>
      </c>
      <c r="D575" s="100">
        <v>3</v>
      </c>
      <c r="E575" s="100" t="str">
        <f t="shared" si="25"/>
        <v>153</v>
      </c>
      <c r="F575" s="100">
        <v>5</v>
      </c>
      <c r="G575" s="100" t="s">
        <v>432</v>
      </c>
    </row>
    <row r="576" spans="1:7">
      <c r="A576" s="100">
        <v>24</v>
      </c>
      <c r="B576" s="100">
        <v>1</v>
      </c>
      <c r="C576" s="100">
        <v>5</v>
      </c>
      <c r="D576" s="100">
        <v>4</v>
      </c>
      <c r="E576" s="100" t="str">
        <f t="shared" si="25"/>
        <v>154</v>
      </c>
      <c r="F576" s="100">
        <v>5</v>
      </c>
      <c r="G576" s="100" t="s">
        <v>432</v>
      </c>
    </row>
    <row r="577" spans="1:7">
      <c r="A577" s="100">
        <v>25</v>
      </c>
      <c r="B577" s="100">
        <v>1</v>
      </c>
      <c r="C577" s="100">
        <v>5</v>
      </c>
      <c r="D577" s="100">
        <v>5</v>
      </c>
      <c r="E577" s="100" t="str">
        <f t="shared" si="25"/>
        <v>155</v>
      </c>
      <c r="F577" s="100">
        <v>5</v>
      </c>
      <c r="G577" s="100" t="s">
        <v>432</v>
      </c>
    </row>
    <row r="578" spans="1:7">
      <c r="A578" s="100">
        <v>26</v>
      </c>
      <c r="B578" s="100">
        <v>2</v>
      </c>
      <c r="C578" s="100">
        <v>1</v>
      </c>
      <c r="D578" s="100">
        <v>1</v>
      </c>
      <c r="E578" s="100" t="str">
        <f t="shared" si="25"/>
        <v>211</v>
      </c>
      <c r="F578" s="100">
        <v>1</v>
      </c>
      <c r="G578" s="100" t="s">
        <v>432</v>
      </c>
    </row>
    <row r="579" spans="1:7">
      <c r="A579" s="100">
        <v>27</v>
      </c>
      <c r="B579" s="100">
        <v>2</v>
      </c>
      <c r="C579" s="100">
        <v>1</v>
      </c>
      <c r="D579" s="100">
        <v>2</v>
      </c>
      <c r="E579" s="100" t="str">
        <f t="shared" si="25"/>
        <v>212</v>
      </c>
      <c r="F579" s="100">
        <v>1</v>
      </c>
      <c r="G579" s="100" t="s">
        <v>432</v>
      </c>
    </row>
    <row r="580" spans="1:7">
      <c r="A580" s="100">
        <v>28</v>
      </c>
      <c r="B580" s="100">
        <v>2</v>
      </c>
      <c r="C580" s="100">
        <v>1</v>
      </c>
      <c r="D580" s="100">
        <v>3</v>
      </c>
      <c r="E580" s="100" t="str">
        <f t="shared" si="25"/>
        <v>213</v>
      </c>
      <c r="F580" s="100">
        <v>2</v>
      </c>
      <c r="G580" s="100" t="s">
        <v>432</v>
      </c>
    </row>
    <row r="581" spans="1:7">
      <c r="A581" s="100">
        <v>29</v>
      </c>
      <c r="B581" s="100">
        <v>2</v>
      </c>
      <c r="C581" s="100">
        <v>1</v>
      </c>
      <c r="D581" s="100">
        <v>4</v>
      </c>
      <c r="E581" s="100" t="str">
        <f t="shared" si="25"/>
        <v>214</v>
      </c>
      <c r="F581" s="100">
        <v>2</v>
      </c>
      <c r="G581" s="100" t="s">
        <v>432</v>
      </c>
    </row>
    <row r="582" spans="1:7">
      <c r="A582" s="100">
        <v>30</v>
      </c>
      <c r="B582" s="100">
        <v>2</v>
      </c>
      <c r="C582" s="100">
        <v>1</v>
      </c>
      <c r="D582" s="100">
        <v>5</v>
      </c>
      <c r="E582" s="100" t="str">
        <f t="shared" si="25"/>
        <v>215</v>
      </c>
      <c r="F582" s="100">
        <v>3</v>
      </c>
      <c r="G582" s="100" t="s">
        <v>432</v>
      </c>
    </row>
    <row r="583" spans="1:7">
      <c r="A583" s="100">
        <v>31</v>
      </c>
      <c r="B583" s="100">
        <v>2</v>
      </c>
      <c r="C583" s="100">
        <v>2</v>
      </c>
      <c r="D583" s="100">
        <v>1</v>
      </c>
      <c r="E583" s="100" t="str">
        <f t="shared" si="25"/>
        <v>221</v>
      </c>
      <c r="F583" s="100">
        <v>1</v>
      </c>
      <c r="G583" s="100" t="s">
        <v>432</v>
      </c>
    </row>
    <row r="584" spans="1:7">
      <c r="A584" s="100">
        <v>32</v>
      </c>
      <c r="B584" s="100">
        <v>2</v>
      </c>
      <c r="C584" s="100">
        <v>2</v>
      </c>
      <c r="D584" s="100">
        <v>2</v>
      </c>
      <c r="E584" s="100" t="str">
        <f t="shared" si="25"/>
        <v>222</v>
      </c>
      <c r="F584" s="100">
        <v>2</v>
      </c>
      <c r="G584" s="100" t="s">
        <v>432</v>
      </c>
    </row>
    <row r="585" spans="1:7">
      <c r="A585" s="100">
        <v>33</v>
      </c>
      <c r="B585" s="100">
        <v>2</v>
      </c>
      <c r="C585" s="100">
        <v>2</v>
      </c>
      <c r="D585" s="100">
        <v>3</v>
      </c>
      <c r="E585" s="100" t="str">
        <f t="shared" si="25"/>
        <v>223</v>
      </c>
      <c r="F585" s="100">
        <v>2</v>
      </c>
      <c r="G585" s="100" t="s">
        <v>432</v>
      </c>
    </row>
    <row r="586" spans="1:7">
      <c r="A586" s="100">
        <v>34</v>
      </c>
      <c r="B586" s="100">
        <v>2</v>
      </c>
      <c r="C586" s="100">
        <v>2</v>
      </c>
      <c r="D586" s="100">
        <v>4</v>
      </c>
      <c r="E586" s="100" t="str">
        <f t="shared" si="25"/>
        <v>224</v>
      </c>
      <c r="F586" s="100">
        <v>3</v>
      </c>
      <c r="G586" s="100" t="s">
        <v>432</v>
      </c>
    </row>
    <row r="587" spans="1:7">
      <c r="A587" s="100">
        <v>35</v>
      </c>
      <c r="B587" s="100">
        <v>2</v>
      </c>
      <c r="C587" s="100">
        <v>2</v>
      </c>
      <c r="D587" s="100">
        <v>5</v>
      </c>
      <c r="E587" s="100" t="str">
        <f t="shared" si="25"/>
        <v>225</v>
      </c>
      <c r="F587" s="100">
        <v>3</v>
      </c>
      <c r="G587" s="100" t="s">
        <v>432</v>
      </c>
    </row>
    <row r="588" spans="1:7">
      <c r="A588" s="100">
        <v>36</v>
      </c>
      <c r="B588" s="100">
        <v>2</v>
      </c>
      <c r="C588" s="100">
        <v>3</v>
      </c>
      <c r="D588" s="100">
        <v>1</v>
      </c>
      <c r="E588" s="100" t="str">
        <f t="shared" si="25"/>
        <v>231</v>
      </c>
      <c r="F588" s="100">
        <v>2</v>
      </c>
      <c r="G588" s="100" t="s">
        <v>432</v>
      </c>
    </row>
    <row r="589" spans="1:7">
      <c r="A589" s="100">
        <v>37</v>
      </c>
      <c r="B589" s="100">
        <v>2</v>
      </c>
      <c r="C589" s="100">
        <v>3</v>
      </c>
      <c r="D589" s="100">
        <v>2</v>
      </c>
      <c r="E589" s="100" t="str">
        <f t="shared" si="25"/>
        <v>232</v>
      </c>
      <c r="F589" s="100">
        <v>2</v>
      </c>
      <c r="G589" s="100" t="s">
        <v>432</v>
      </c>
    </row>
    <row r="590" spans="1:7">
      <c r="A590" s="100">
        <v>38</v>
      </c>
      <c r="B590" s="100">
        <v>2</v>
      </c>
      <c r="C590" s="100">
        <v>3</v>
      </c>
      <c r="D590" s="100">
        <v>3</v>
      </c>
      <c r="E590" s="100" t="str">
        <f t="shared" si="25"/>
        <v>233</v>
      </c>
      <c r="F590" s="100">
        <v>3</v>
      </c>
      <c r="G590" s="100" t="s">
        <v>432</v>
      </c>
    </row>
    <row r="591" spans="1:7">
      <c r="A591" s="100">
        <v>39</v>
      </c>
      <c r="B591" s="100">
        <v>2</v>
      </c>
      <c r="C591" s="100">
        <v>3</v>
      </c>
      <c r="D591" s="100">
        <v>4</v>
      </c>
      <c r="E591" s="100" t="str">
        <f t="shared" si="25"/>
        <v>234</v>
      </c>
      <c r="F591" s="100">
        <v>4</v>
      </c>
      <c r="G591" s="100" t="s">
        <v>432</v>
      </c>
    </row>
    <row r="592" spans="1:7">
      <c r="A592" s="100">
        <v>40</v>
      </c>
      <c r="B592" s="100">
        <v>2</v>
      </c>
      <c r="C592" s="100">
        <v>3</v>
      </c>
      <c r="D592" s="100">
        <v>5</v>
      </c>
      <c r="E592" s="100" t="str">
        <f t="shared" si="25"/>
        <v>235</v>
      </c>
      <c r="F592" s="100">
        <v>4</v>
      </c>
      <c r="G592" s="100" t="s">
        <v>432</v>
      </c>
    </row>
    <row r="593" spans="1:7">
      <c r="A593" s="100">
        <v>41</v>
      </c>
      <c r="B593" s="100">
        <v>2</v>
      </c>
      <c r="C593" s="100">
        <v>4</v>
      </c>
      <c r="D593" s="100">
        <v>1</v>
      </c>
      <c r="E593" s="100" t="str">
        <f t="shared" si="25"/>
        <v>241</v>
      </c>
      <c r="F593" s="100">
        <v>2</v>
      </c>
      <c r="G593" s="100" t="s">
        <v>432</v>
      </c>
    </row>
    <row r="594" spans="1:7">
      <c r="A594" s="100">
        <v>42</v>
      </c>
      <c r="B594" s="100">
        <v>2</v>
      </c>
      <c r="C594" s="100">
        <v>4</v>
      </c>
      <c r="D594" s="100">
        <v>2</v>
      </c>
      <c r="E594" s="100" t="str">
        <f t="shared" si="25"/>
        <v>242</v>
      </c>
      <c r="F594" s="100">
        <v>3</v>
      </c>
      <c r="G594" s="100" t="s">
        <v>432</v>
      </c>
    </row>
    <row r="595" spans="1:7">
      <c r="A595" s="100">
        <v>43</v>
      </c>
      <c r="B595" s="100">
        <v>2</v>
      </c>
      <c r="C595" s="100">
        <v>4</v>
      </c>
      <c r="D595" s="100">
        <v>3</v>
      </c>
      <c r="E595" s="100" t="str">
        <f t="shared" si="25"/>
        <v>243</v>
      </c>
      <c r="F595" s="100">
        <v>4</v>
      </c>
      <c r="G595" s="100" t="s">
        <v>432</v>
      </c>
    </row>
    <row r="596" spans="1:7">
      <c r="A596" s="100">
        <v>44</v>
      </c>
      <c r="B596" s="100">
        <v>2</v>
      </c>
      <c r="C596" s="100">
        <v>4</v>
      </c>
      <c r="D596" s="100">
        <v>4</v>
      </c>
      <c r="E596" s="100" t="str">
        <f t="shared" si="25"/>
        <v>244</v>
      </c>
      <c r="F596" s="100">
        <v>4</v>
      </c>
      <c r="G596" s="100" t="s">
        <v>432</v>
      </c>
    </row>
    <row r="597" spans="1:7">
      <c r="A597" s="100">
        <v>45</v>
      </c>
      <c r="B597" s="100">
        <v>2</v>
      </c>
      <c r="C597" s="100">
        <v>4</v>
      </c>
      <c r="D597" s="100">
        <v>5</v>
      </c>
      <c r="E597" s="100" t="str">
        <f t="shared" si="25"/>
        <v>245</v>
      </c>
      <c r="F597" s="100">
        <v>5</v>
      </c>
      <c r="G597" s="100" t="s">
        <v>432</v>
      </c>
    </row>
    <row r="598" spans="1:7">
      <c r="A598" s="100">
        <v>46</v>
      </c>
      <c r="B598" s="100">
        <v>2</v>
      </c>
      <c r="C598" s="100">
        <v>5</v>
      </c>
      <c r="D598" s="100">
        <v>1</v>
      </c>
      <c r="E598" s="100" t="str">
        <f t="shared" si="25"/>
        <v>251</v>
      </c>
      <c r="F598" s="100">
        <v>3</v>
      </c>
      <c r="G598" s="100" t="s">
        <v>432</v>
      </c>
    </row>
    <row r="599" spans="1:7">
      <c r="A599" s="100">
        <v>47</v>
      </c>
      <c r="B599" s="100">
        <v>2</v>
      </c>
      <c r="C599" s="100">
        <v>5</v>
      </c>
      <c r="D599" s="100">
        <v>2</v>
      </c>
      <c r="E599" s="100" t="str">
        <f t="shared" si="25"/>
        <v>252</v>
      </c>
      <c r="F599" s="100">
        <v>3</v>
      </c>
      <c r="G599" s="100" t="s">
        <v>432</v>
      </c>
    </row>
    <row r="600" spans="1:7">
      <c r="A600" s="100">
        <v>48</v>
      </c>
      <c r="B600" s="100">
        <v>2</v>
      </c>
      <c r="C600" s="100">
        <v>5</v>
      </c>
      <c r="D600" s="100">
        <v>3</v>
      </c>
      <c r="E600" s="100" t="str">
        <f t="shared" si="25"/>
        <v>253</v>
      </c>
      <c r="F600" s="100">
        <v>4</v>
      </c>
      <c r="G600" s="100" t="s">
        <v>432</v>
      </c>
    </row>
    <row r="601" spans="1:7">
      <c r="A601" s="100">
        <v>49</v>
      </c>
      <c r="B601" s="100">
        <v>2</v>
      </c>
      <c r="C601" s="100">
        <v>5</v>
      </c>
      <c r="D601" s="100">
        <v>4</v>
      </c>
      <c r="E601" s="100" t="str">
        <f t="shared" si="25"/>
        <v>254</v>
      </c>
      <c r="F601" s="100">
        <v>5</v>
      </c>
      <c r="G601" s="100" t="s">
        <v>432</v>
      </c>
    </row>
    <row r="602" spans="1:7">
      <c r="A602" s="100">
        <v>50</v>
      </c>
      <c r="B602" s="100">
        <v>2</v>
      </c>
      <c r="C602" s="100">
        <v>5</v>
      </c>
      <c r="D602" s="100">
        <v>5</v>
      </c>
      <c r="E602" s="100" t="str">
        <f t="shared" si="25"/>
        <v>255</v>
      </c>
      <c r="F602" s="100">
        <v>5</v>
      </c>
      <c r="G602" s="100" t="s">
        <v>432</v>
      </c>
    </row>
    <row r="603" spans="1:7">
      <c r="A603" s="100">
        <v>51</v>
      </c>
      <c r="B603" s="100">
        <v>3</v>
      </c>
      <c r="C603" s="100">
        <v>1</v>
      </c>
      <c r="D603" s="100">
        <v>1</v>
      </c>
      <c r="E603" s="100" t="str">
        <f t="shared" si="25"/>
        <v>311</v>
      </c>
      <c r="F603" s="100">
        <v>1</v>
      </c>
      <c r="G603" s="100" t="s">
        <v>432</v>
      </c>
    </row>
    <row r="604" spans="1:7">
      <c r="A604" s="100">
        <v>52</v>
      </c>
      <c r="B604" s="100">
        <v>3</v>
      </c>
      <c r="C604" s="100">
        <v>1</v>
      </c>
      <c r="D604" s="100">
        <v>2</v>
      </c>
      <c r="E604" s="100" t="str">
        <f t="shared" si="25"/>
        <v>312</v>
      </c>
      <c r="F604" s="100">
        <v>2</v>
      </c>
      <c r="G604" s="100" t="s">
        <v>432</v>
      </c>
    </row>
    <row r="605" spans="1:7">
      <c r="A605" s="100">
        <v>53</v>
      </c>
      <c r="B605" s="100">
        <v>3</v>
      </c>
      <c r="C605" s="100">
        <v>1</v>
      </c>
      <c r="D605" s="100">
        <v>3</v>
      </c>
      <c r="E605" s="100" t="str">
        <f t="shared" si="25"/>
        <v>313</v>
      </c>
      <c r="F605" s="100">
        <v>3</v>
      </c>
      <c r="G605" s="100" t="s">
        <v>432</v>
      </c>
    </row>
    <row r="606" spans="1:7">
      <c r="A606" s="100">
        <v>54</v>
      </c>
      <c r="B606" s="100">
        <v>3</v>
      </c>
      <c r="C606" s="100">
        <v>1</v>
      </c>
      <c r="D606" s="100">
        <v>4</v>
      </c>
      <c r="E606" s="100" t="str">
        <f t="shared" si="25"/>
        <v>314</v>
      </c>
      <c r="F606" s="100">
        <v>4</v>
      </c>
      <c r="G606" s="100" t="s">
        <v>432</v>
      </c>
    </row>
    <row r="607" spans="1:7">
      <c r="A607" s="100">
        <v>55</v>
      </c>
      <c r="B607" s="100">
        <v>3</v>
      </c>
      <c r="C607" s="100">
        <v>1</v>
      </c>
      <c r="D607" s="100">
        <v>5</v>
      </c>
      <c r="E607" s="100" t="str">
        <f t="shared" si="25"/>
        <v>315</v>
      </c>
      <c r="F607" s="100">
        <v>5</v>
      </c>
      <c r="G607" s="100" t="s">
        <v>432</v>
      </c>
    </row>
    <row r="608" spans="1:7">
      <c r="A608" s="100">
        <v>56</v>
      </c>
      <c r="B608" s="100">
        <v>3</v>
      </c>
      <c r="C608" s="100">
        <v>2</v>
      </c>
      <c r="D608" s="100">
        <v>1</v>
      </c>
      <c r="E608" s="100" t="str">
        <f t="shared" si="25"/>
        <v>321</v>
      </c>
      <c r="F608" s="100">
        <v>1</v>
      </c>
      <c r="G608" s="100" t="s">
        <v>432</v>
      </c>
    </row>
    <row r="609" spans="1:7">
      <c r="A609" s="100">
        <v>57</v>
      </c>
      <c r="B609" s="100">
        <v>3</v>
      </c>
      <c r="C609" s="100">
        <v>2</v>
      </c>
      <c r="D609" s="100">
        <v>2</v>
      </c>
      <c r="E609" s="100" t="str">
        <f t="shared" si="25"/>
        <v>322</v>
      </c>
      <c r="F609" s="100">
        <v>2</v>
      </c>
      <c r="G609" s="100" t="s">
        <v>432</v>
      </c>
    </row>
    <row r="610" spans="1:7">
      <c r="A610" s="100">
        <v>58</v>
      </c>
      <c r="B610" s="100">
        <v>3</v>
      </c>
      <c r="C610" s="100">
        <v>2</v>
      </c>
      <c r="D610" s="100">
        <v>3</v>
      </c>
      <c r="E610" s="100" t="str">
        <f t="shared" si="25"/>
        <v>323</v>
      </c>
      <c r="F610" s="100">
        <v>3</v>
      </c>
      <c r="G610" s="100" t="s">
        <v>432</v>
      </c>
    </row>
    <row r="611" spans="1:7">
      <c r="A611" s="100">
        <v>59</v>
      </c>
      <c r="B611" s="100">
        <v>3</v>
      </c>
      <c r="C611" s="100">
        <v>2</v>
      </c>
      <c r="D611" s="100">
        <v>4</v>
      </c>
      <c r="E611" s="100" t="str">
        <f t="shared" si="25"/>
        <v>324</v>
      </c>
      <c r="F611" s="100">
        <v>4</v>
      </c>
      <c r="G611" s="100" t="s">
        <v>432</v>
      </c>
    </row>
    <row r="612" spans="1:7">
      <c r="A612" s="100">
        <v>60</v>
      </c>
      <c r="B612" s="100">
        <v>3</v>
      </c>
      <c r="C612" s="100">
        <v>2</v>
      </c>
      <c r="D612" s="100">
        <v>5</v>
      </c>
      <c r="E612" s="100" t="str">
        <f t="shared" si="25"/>
        <v>325</v>
      </c>
      <c r="F612" s="100">
        <v>5</v>
      </c>
      <c r="G612" s="100" t="s">
        <v>432</v>
      </c>
    </row>
    <row r="613" spans="1:7">
      <c r="A613" s="100">
        <v>61</v>
      </c>
      <c r="B613" s="100">
        <v>3</v>
      </c>
      <c r="C613" s="100">
        <v>3</v>
      </c>
      <c r="D613" s="100">
        <v>1</v>
      </c>
      <c r="E613" s="100" t="str">
        <f t="shared" si="25"/>
        <v>331</v>
      </c>
      <c r="F613" s="100">
        <v>1</v>
      </c>
      <c r="G613" s="100" t="s">
        <v>432</v>
      </c>
    </row>
    <row r="614" spans="1:7">
      <c r="A614" s="100">
        <v>62</v>
      </c>
      <c r="B614" s="100">
        <v>3</v>
      </c>
      <c r="C614" s="100">
        <v>3</v>
      </c>
      <c r="D614" s="100">
        <v>2</v>
      </c>
      <c r="E614" s="100" t="str">
        <f t="shared" si="25"/>
        <v>332</v>
      </c>
      <c r="F614" s="100">
        <v>2</v>
      </c>
      <c r="G614" s="100" t="s">
        <v>432</v>
      </c>
    </row>
    <row r="615" spans="1:7">
      <c r="A615" s="100">
        <v>63</v>
      </c>
      <c r="B615" s="100">
        <v>3</v>
      </c>
      <c r="C615" s="100">
        <v>3</v>
      </c>
      <c r="D615" s="100">
        <v>3</v>
      </c>
      <c r="E615" s="100" t="str">
        <f t="shared" si="25"/>
        <v>333</v>
      </c>
      <c r="F615" s="100">
        <v>3</v>
      </c>
      <c r="G615" s="100" t="s">
        <v>432</v>
      </c>
    </row>
    <row r="616" spans="1:7">
      <c r="A616" s="100">
        <v>64</v>
      </c>
      <c r="B616" s="100">
        <v>3</v>
      </c>
      <c r="C616" s="100">
        <v>3</v>
      </c>
      <c r="D616" s="100">
        <v>4</v>
      </c>
      <c r="E616" s="100" t="str">
        <f t="shared" si="25"/>
        <v>334</v>
      </c>
      <c r="F616" s="100">
        <v>4</v>
      </c>
      <c r="G616" s="100" t="s">
        <v>432</v>
      </c>
    </row>
    <row r="617" spans="1:7">
      <c r="A617" s="100">
        <v>65</v>
      </c>
      <c r="B617" s="100">
        <v>3</v>
      </c>
      <c r="C617" s="100">
        <v>3</v>
      </c>
      <c r="D617" s="100">
        <v>5</v>
      </c>
      <c r="E617" s="100" t="str">
        <f t="shared" si="25"/>
        <v>335</v>
      </c>
      <c r="F617" s="100">
        <v>5</v>
      </c>
      <c r="G617" s="100" t="s">
        <v>432</v>
      </c>
    </row>
    <row r="618" spans="1:7">
      <c r="A618" s="100">
        <v>66</v>
      </c>
      <c r="B618" s="100">
        <v>3</v>
      </c>
      <c r="C618" s="100">
        <v>4</v>
      </c>
      <c r="D618" s="100">
        <v>1</v>
      </c>
      <c r="E618" s="100" t="str">
        <f t="shared" ref="E618:E627" si="26">CONCATENATE(B618,C618,D618)</f>
        <v>341</v>
      </c>
      <c r="F618" s="100">
        <v>1</v>
      </c>
      <c r="G618" s="100" t="s">
        <v>432</v>
      </c>
    </row>
    <row r="619" spans="1:7">
      <c r="A619" s="100">
        <v>67</v>
      </c>
      <c r="B619" s="100">
        <v>3</v>
      </c>
      <c r="C619" s="100">
        <v>4</v>
      </c>
      <c r="D619" s="100">
        <v>2</v>
      </c>
      <c r="E619" s="100" t="str">
        <f t="shared" si="26"/>
        <v>342</v>
      </c>
      <c r="F619" s="100">
        <v>2</v>
      </c>
      <c r="G619" s="100" t="s">
        <v>432</v>
      </c>
    </row>
    <row r="620" spans="1:7">
      <c r="A620" s="100">
        <v>68</v>
      </c>
      <c r="B620" s="100">
        <v>3</v>
      </c>
      <c r="C620" s="100">
        <v>4</v>
      </c>
      <c r="D620" s="100">
        <v>3</v>
      </c>
      <c r="E620" s="100" t="str">
        <f t="shared" si="26"/>
        <v>343</v>
      </c>
      <c r="F620" s="100">
        <v>3</v>
      </c>
      <c r="G620" s="100" t="s">
        <v>432</v>
      </c>
    </row>
    <row r="621" spans="1:7">
      <c r="A621" s="100">
        <v>69</v>
      </c>
      <c r="B621" s="100">
        <v>3</v>
      </c>
      <c r="C621" s="100">
        <v>4</v>
      </c>
      <c r="D621" s="100">
        <v>4</v>
      </c>
      <c r="E621" s="100" t="str">
        <f t="shared" si="26"/>
        <v>344</v>
      </c>
      <c r="F621" s="100">
        <v>4</v>
      </c>
      <c r="G621" s="100" t="s">
        <v>432</v>
      </c>
    </row>
    <row r="622" spans="1:7">
      <c r="A622" s="100">
        <v>70</v>
      </c>
      <c r="B622" s="100">
        <v>3</v>
      </c>
      <c r="C622" s="100">
        <v>4</v>
      </c>
      <c r="D622" s="100">
        <v>5</v>
      </c>
      <c r="E622" s="100" t="str">
        <f t="shared" si="26"/>
        <v>345</v>
      </c>
      <c r="F622" s="100">
        <v>5</v>
      </c>
      <c r="G622" s="100" t="s">
        <v>432</v>
      </c>
    </row>
    <row r="623" spans="1:7">
      <c r="A623" s="100">
        <v>71</v>
      </c>
      <c r="B623" s="100">
        <v>3</v>
      </c>
      <c r="C623" s="100">
        <v>5</v>
      </c>
      <c r="D623" s="100">
        <v>1</v>
      </c>
      <c r="E623" s="100" t="str">
        <f t="shared" si="26"/>
        <v>351</v>
      </c>
      <c r="F623" s="100">
        <v>1</v>
      </c>
      <c r="G623" s="100" t="s">
        <v>432</v>
      </c>
    </row>
    <row r="624" spans="1:7">
      <c r="A624" s="100">
        <v>72</v>
      </c>
      <c r="B624" s="100">
        <v>3</v>
      </c>
      <c r="C624" s="100">
        <v>5</v>
      </c>
      <c r="D624" s="100">
        <v>2</v>
      </c>
      <c r="E624" s="100" t="str">
        <f t="shared" si="26"/>
        <v>352</v>
      </c>
      <c r="F624" s="100">
        <v>2</v>
      </c>
      <c r="G624" s="100" t="s">
        <v>432</v>
      </c>
    </row>
    <row r="625" spans="1:7">
      <c r="A625" s="100">
        <v>73</v>
      </c>
      <c r="B625" s="100">
        <v>3</v>
      </c>
      <c r="C625" s="100">
        <v>5</v>
      </c>
      <c r="D625" s="100">
        <v>3</v>
      </c>
      <c r="E625" s="100" t="str">
        <f t="shared" si="26"/>
        <v>353</v>
      </c>
      <c r="F625" s="100">
        <v>3</v>
      </c>
      <c r="G625" s="100" t="s">
        <v>432</v>
      </c>
    </row>
    <row r="626" spans="1:7">
      <c r="A626" s="100">
        <v>74</v>
      </c>
      <c r="B626" s="100">
        <v>3</v>
      </c>
      <c r="C626" s="100">
        <v>5</v>
      </c>
      <c r="D626" s="100">
        <v>4</v>
      </c>
      <c r="E626" s="100" t="str">
        <f t="shared" si="26"/>
        <v>354</v>
      </c>
      <c r="F626" s="100">
        <v>4</v>
      </c>
      <c r="G626" s="100" t="s">
        <v>432</v>
      </c>
    </row>
    <row r="627" spans="1:7">
      <c r="A627" s="100">
        <v>75</v>
      </c>
      <c r="B627" s="100">
        <v>3</v>
      </c>
      <c r="C627" s="100">
        <v>5</v>
      </c>
      <c r="D627" s="100">
        <v>5</v>
      </c>
      <c r="E627" s="100" t="str">
        <f t="shared" si="26"/>
        <v>355</v>
      </c>
      <c r="F627" s="100">
        <v>5</v>
      </c>
      <c r="G627" s="100" t="s">
        <v>432</v>
      </c>
    </row>
    <row r="629" spans="1:7">
      <c r="A629" s="100" t="s">
        <v>470</v>
      </c>
      <c r="B629" s="100" t="s">
        <v>469</v>
      </c>
      <c r="C629" s="100" t="s">
        <v>467</v>
      </c>
      <c r="D629" s="99" t="s">
        <v>361</v>
      </c>
      <c r="E629" s="100" t="s">
        <v>468</v>
      </c>
    </row>
    <row r="630" spans="1:7">
      <c r="A630" s="100">
        <v>1</v>
      </c>
      <c r="B630" s="100">
        <v>1</v>
      </c>
      <c r="C630" s="100">
        <v>1</v>
      </c>
      <c r="D630" s="100" t="str">
        <f>CONCATENATE(B630,C630)</f>
        <v>11</v>
      </c>
      <c r="E630" s="100">
        <v>1</v>
      </c>
      <c r="F630" s="100" t="s">
        <v>432</v>
      </c>
    </row>
    <row r="631" spans="1:7">
      <c r="A631" s="100">
        <v>2</v>
      </c>
      <c r="B631" s="100">
        <v>1</v>
      </c>
      <c r="C631" s="100">
        <v>2</v>
      </c>
      <c r="D631" s="100" t="str">
        <f t="shared" ref="D631:D644" si="27">CONCATENATE(B631,C631)</f>
        <v>12</v>
      </c>
      <c r="E631" s="100">
        <v>1</v>
      </c>
      <c r="F631" s="100" t="s">
        <v>432</v>
      </c>
    </row>
    <row r="632" spans="1:7">
      <c r="A632" s="100">
        <v>3</v>
      </c>
      <c r="B632" s="100">
        <v>1</v>
      </c>
      <c r="C632" s="100">
        <v>3</v>
      </c>
      <c r="D632" s="100" t="str">
        <f t="shared" si="27"/>
        <v>13</v>
      </c>
      <c r="E632" s="100">
        <v>2</v>
      </c>
      <c r="F632" s="100" t="s">
        <v>433</v>
      </c>
    </row>
    <row r="633" spans="1:7">
      <c r="A633" s="100">
        <v>4</v>
      </c>
      <c r="B633" s="100">
        <v>2</v>
      </c>
      <c r="C633" s="100">
        <v>1</v>
      </c>
      <c r="D633" s="100" t="str">
        <f t="shared" si="27"/>
        <v>21</v>
      </c>
      <c r="E633" s="100">
        <v>1</v>
      </c>
      <c r="F633" s="100" t="s">
        <v>432</v>
      </c>
    </row>
    <row r="634" spans="1:7">
      <c r="A634" s="100">
        <v>5</v>
      </c>
      <c r="B634" s="100">
        <v>2</v>
      </c>
      <c r="C634" s="100">
        <v>2</v>
      </c>
      <c r="D634" s="100" t="str">
        <f t="shared" si="27"/>
        <v>22</v>
      </c>
      <c r="E634" s="100">
        <v>2</v>
      </c>
      <c r="F634" s="100" t="s">
        <v>433</v>
      </c>
    </row>
    <row r="635" spans="1:7">
      <c r="A635" s="100">
        <v>6</v>
      </c>
      <c r="B635" s="100">
        <v>2</v>
      </c>
      <c r="C635" s="100">
        <v>3</v>
      </c>
      <c r="D635" s="100" t="str">
        <f t="shared" si="27"/>
        <v>23</v>
      </c>
      <c r="E635" s="100">
        <v>3</v>
      </c>
      <c r="F635" s="100" t="s">
        <v>433</v>
      </c>
    </row>
    <row r="636" spans="1:7">
      <c r="A636" s="100">
        <v>7</v>
      </c>
      <c r="B636" s="100">
        <v>3</v>
      </c>
      <c r="C636" s="100">
        <v>1</v>
      </c>
      <c r="D636" s="100" t="str">
        <f t="shared" si="27"/>
        <v>31</v>
      </c>
      <c r="E636" s="100">
        <v>3</v>
      </c>
      <c r="F636" s="100" t="s">
        <v>433</v>
      </c>
    </row>
    <row r="637" spans="1:7">
      <c r="A637" s="100">
        <v>8</v>
      </c>
      <c r="B637" s="100">
        <v>3</v>
      </c>
      <c r="C637" s="100">
        <v>2</v>
      </c>
      <c r="D637" s="100" t="str">
        <f t="shared" si="27"/>
        <v>32</v>
      </c>
      <c r="E637" s="100">
        <v>4</v>
      </c>
      <c r="F637" s="100" t="s">
        <v>433</v>
      </c>
    </row>
    <row r="638" spans="1:7">
      <c r="A638" s="100">
        <v>9</v>
      </c>
      <c r="B638" s="100">
        <v>3</v>
      </c>
      <c r="C638" s="100">
        <v>3</v>
      </c>
      <c r="D638" s="100" t="str">
        <f t="shared" si="27"/>
        <v>33</v>
      </c>
      <c r="E638" s="100">
        <v>5</v>
      </c>
      <c r="F638" s="100" t="s">
        <v>432</v>
      </c>
    </row>
    <row r="639" spans="1:7">
      <c r="A639" s="100">
        <v>10</v>
      </c>
      <c r="B639" s="100">
        <v>4</v>
      </c>
      <c r="C639" s="100">
        <v>1</v>
      </c>
      <c r="D639" s="100" t="str">
        <f t="shared" si="27"/>
        <v>41</v>
      </c>
      <c r="E639" s="100">
        <v>4</v>
      </c>
      <c r="F639" s="100" t="s">
        <v>433</v>
      </c>
    </row>
    <row r="640" spans="1:7">
      <c r="A640" s="100">
        <v>11</v>
      </c>
      <c r="B640" s="100">
        <v>4</v>
      </c>
      <c r="C640" s="100">
        <v>2</v>
      </c>
      <c r="D640" s="100" t="str">
        <f t="shared" si="27"/>
        <v>42</v>
      </c>
      <c r="E640" s="100">
        <v>5</v>
      </c>
      <c r="F640" s="100" t="s">
        <v>433</v>
      </c>
    </row>
    <row r="641" spans="1:6">
      <c r="A641" s="100">
        <v>12</v>
      </c>
      <c r="B641" s="100">
        <v>4</v>
      </c>
      <c r="C641" s="100">
        <v>3</v>
      </c>
      <c r="D641" s="100" t="str">
        <f t="shared" si="27"/>
        <v>43</v>
      </c>
      <c r="E641" s="100">
        <v>6</v>
      </c>
      <c r="F641" s="100" t="s">
        <v>432</v>
      </c>
    </row>
    <row r="642" spans="1:6">
      <c r="A642" s="100">
        <v>13</v>
      </c>
      <c r="B642" s="100">
        <v>5</v>
      </c>
      <c r="C642" s="100">
        <v>1</v>
      </c>
      <c r="D642" s="100" t="str">
        <f t="shared" si="27"/>
        <v>51</v>
      </c>
      <c r="E642" s="100">
        <v>5</v>
      </c>
      <c r="F642" s="100" t="s">
        <v>432</v>
      </c>
    </row>
    <row r="643" spans="1:6">
      <c r="A643" s="100">
        <v>14</v>
      </c>
      <c r="B643" s="100">
        <v>5</v>
      </c>
      <c r="C643" s="100">
        <v>2</v>
      </c>
      <c r="D643" s="100" t="str">
        <f t="shared" si="27"/>
        <v>52</v>
      </c>
      <c r="E643" s="100">
        <v>6</v>
      </c>
      <c r="F643" s="100" t="s">
        <v>433</v>
      </c>
    </row>
    <row r="644" spans="1:6">
      <c r="A644" s="100">
        <v>15</v>
      </c>
      <c r="B644" s="100">
        <v>5</v>
      </c>
      <c r="C644" s="100">
        <v>3</v>
      </c>
      <c r="D644" s="100" t="str">
        <f t="shared" si="27"/>
        <v>53</v>
      </c>
      <c r="E644" s="100">
        <v>7</v>
      </c>
      <c r="F644" s="100" t="s">
        <v>432</v>
      </c>
    </row>
    <row r="646" spans="1:6">
      <c r="A646" s="100" t="s">
        <v>472</v>
      </c>
      <c r="B646" s="100" t="s">
        <v>17</v>
      </c>
      <c r="C646" s="100" t="s">
        <v>471</v>
      </c>
    </row>
    <row r="647" spans="1:6">
      <c r="A647" s="100">
        <v>1</v>
      </c>
      <c r="B647" s="100">
        <v>1</v>
      </c>
      <c r="C647" s="100">
        <v>1</v>
      </c>
      <c r="D647" s="100" t="s">
        <v>432</v>
      </c>
    </row>
    <row r="648" spans="1:6">
      <c r="A648" s="100">
        <v>2</v>
      </c>
      <c r="B648" s="100">
        <v>2</v>
      </c>
      <c r="C648" s="100">
        <v>1</v>
      </c>
      <c r="D648" s="100" t="s">
        <v>432</v>
      </c>
    </row>
    <row r="649" spans="1:6">
      <c r="A649" s="100">
        <v>3</v>
      </c>
      <c r="B649" s="100">
        <v>3</v>
      </c>
      <c r="C649" s="100">
        <v>2</v>
      </c>
      <c r="D649" s="100" t="s">
        <v>432</v>
      </c>
    </row>
    <row r="650" spans="1:6">
      <c r="A650" s="100">
        <v>4</v>
      </c>
      <c r="B650" s="100">
        <v>4</v>
      </c>
      <c r="C650" s="100">
        <v>3</v>
      </c>
      <c r="D650" s="100" t="s">
        <v>432</v>
      </c>
    </row>
    <row r="651" spans="1:6">
      <c r="A651" s="100">
        <v>5</v>
      </c>
      <c r="B651" s="100">
        <v>5</v>
      </c>
      <c r="C651" s="100">
        <v>3</v>
      </c>
      <c r="D651" s="100" t="s">
        <v>432</v>
      </c>
    </row>
    <row r="653" spans="1:6">
      <c r="A653" s="100" t="s">
        <v>475</v>
      </c>
      <c r="B653" s="100" t="s">
        <v>388</v>
      </c>
      <c r="C653" s="100" t="s">
        <v>474</v>
      </c>
      <c r="D653" s="99" t="s">
        <v>361</v>
      </c>
      <c r="E653" s="100" t="s">
        <v>473</v>
      </c>
    </row>
    <row r="654" spans="1:6">
      <c r="A654" s="100">
        <v>1</v>
      </c>
      <c r="B654" s="100">
        <v>1</v>
      </c>
      <c r="C654" s="100">
        <v>1</v>
      </c>
      <c r="D654" s="100" t="str">
        <f t="shared" ref="D654:D659" si="28">CONCATENATE(B654,C654)</f>
        <v>11</v>
      </c>
      <c r="E654" s="100">
        <v>1</v>
      </c>
      <c r="F654" s="100" t="s">
        <v>432</v>
      </c>
    </row>
    <row r="655" spans="1:6">
      <c r="A655" s="100">
        <v>2</v>
      </c>
      <c r="B655" s="100">
        <v>1</v>
      </c>
      <c r="C655" s="100">
        <v>2</v>
      </c>
      <c r="D655" s="100" t="str">
        <f t="shared" si="28"/>
        <v>12</v>
      </c>
      <c r="E655" s="100">
        <v>2</v>
      </c>
      <c r="F655" s="100" t="s">
        <v>433</v>
      </c>
    </row>
    <row r="656" spans="1:6">
      <c r="A656" s="100">
        <v>3</v>
      </c>
      <c r="B656" s="100">
        <v>2</v>
      </c>
      <c r="C656" s="100">
        <v>1</v>
      </c>
      <c r="D656" s="100" t="str">
        <f t="shared" si="28"/>
        <v>21</v>
      </c>
      <c r="E656" s="100">
        <v>2</v>
      </c>
      <c r="F656" s="100" t="s">
        <v>433</v>
      </c>
    </row>
    <row r="657" spans="1:6">
      <c r="A657" s="100">
        <v>4</v>
      </c>
      <c r="B657" s="100">
        <v>2</v>
      </c>
      <c r="C657" s="100">
        <v>2</v>
      </c>
      <c r="D657" s="100" t="str">
        <f t="shared" si="28"/>
        <v>22</v>
      </c>
      <c r="E657" s="100">
        <v>2</v>
      </c>
      <c r="F657" s="100" t="s">
        <v>433</v>
      </c>
    </row>
    <row r="658" spans="1:6">
      <c r="A658" s="100">
        <v>5</v>
      </c>
      <c r="B658" s="100">
        <v>3</v>
      </c>
      <c r="C658" s="100">
        <v>1</v>
      </c>
      <c r="D658" s="100" t="str">
        <f t="shared" si="28"/>
        <v>31</v>
      </c>
      <c r="E658" s="100">
        <v>2</v>
      </c>
      <c r="F658" s="100" t="s">
        <v>433</v>
      </c>
    </row>
    <row r="659" spans="1:6">
      <c r="A659" s="100">
        <v>6</v>
      </c>
      <c r="B659" s="100">
        <v>3</v>
      </c>
      <c r="C659" s="100">
        <v>2</v>
      </c>
      <c r="D659" s="100" t="str">
        <f t="shared" si="28"/>
        <v>32</v>
      </c>
      <c r="E659" s="100">
        <v>3</v>
      </c>
      <c r="F659" s="100" t="s">
        <v>432</v>
      </c>
    </row>
    <row r="661" spans="1:6">
      <c r="A661" s="100" t="s">
        <v>476</v>
      </c>
      <c r="B661" s="100" t="s">
        <v>473</v>
      </c>
      <c r="C661" s="100" t="s">
        <v>471</v>
      </c>
      <c r="D661" s="99" t="s">
        <v>361</v>
      </c>
      <c r="E661" s="100" t="s">
        <v>71</v>
      </c>
    </row>
    <row r="662" spans="1:6">
      <c r="A662" s="100">
        <v>1</v>
      </c>
      <c r="B662" s="100">
        <v>1</v>
      </c>
      <c r="C662" s="100">
        <v>1</v>
      </c>
      <c r="D662" s="100" t="str">
        <f>CONCATENATE(B662,C662)</f>
        <v>11</v>
      </c>
      <c r="E662" s="100">
        <v>1</v>
      </c>
      <c r="F662" s="100" t="s">
        <v>432</v>
      </c>
    </row>
    <row r="663" spans="1:6">
      <c r="A663" s="100">
        <v>2</v>
      </c>
      <c r="B663" s="100">
        <v>1</v>
      </c>
      <c r="C663" s="100">
        <v>2</v>
      </c>
      <c r="D663" s="100" t="str">
        <f t="shared" ref="D663:D670" si="29">CONCATENATE(B663,C663)</f>
        <v>12</v>
      </c>
      <c r="E663" s="100">
        <v>2</v>
      </c>
      <c r="F663" s="100" t="s">
        <v>433</v>
      </c>
    </row>
    <row r="664" spans="1:6">
      <c r="A664" s="100">
        <v>3</v>
      </c>
      <c r="B664" s="100">
        <v>1</v>
      </c>
      <c r="C664" s="100">
        <v>3</v>
      </c>
      <c r="D664" s="100" t="str">
        <f t="shared" si="29"/>
        <v>13</v>
      </c>
      <c r="E664" s="100">
        <v>3</v>
      </c>
      <c r="F664" s="100" t="s">
        <v>433</v>
      </c>
    </row>
    <row r="665" spans="1:6">
      <c r="A665" s="100">
        <v>4</v>
      </c>
      <c r="B665" s="100">
        <v>2</v>
      </c>
      <c r="C665" s="100">
        <v>1</v>
      </c>
      <c r="D665" s="100" t="str">
        <f t="shared" si="29"/>
        <v>21</v>
      </c>
      <c r="E665" s="100">
        <v>2</v>
      </c>
      <c r="F665" s="100" t="s">
        <v>433</v>
      </c>
    </row>
    <row r="666" spans="1:6">
      <c r="A666" s="100">
        <v>5</v>
      </c>
      <c r="B666" s="100">
        <v>2</v>
      </c>
      <c r="C666" s="100">
        <v>2</v>
      </c>
      <c r="D666" s="100" t="str">
        <f t="shared" si="29"/>
        <v>22</v>
      </c>
      <c r="E666" s="100">
        <v>3</v>
      </c>
      <c r="F666" s="100" t="s">
        <v>433</v>
      </c>
    </row>
    <row r="667" spans="1:6">
      <c r="A667" s="100">
        <v>6</v>
      </c>
      <c r="B667" s="100">
        <v>2</v>
      </c>
      <c r="C667" s="100">
        <v>3</v>
      </c>
      <c r="D667" s="100" t="str">
        <f t="shared" si="29"/>
        <v>23</v>
      </c>
      <c r="E667" s="100">
        <v>4</v>
      </c>
      <c r="F667" s="100" t="s">
        <v>433</v>
      </c>
    </row>
    <row r="668" spans="1:6">
      <c r="A668" s="100">
        <v>7</v>
      </c>
      <c r="B668" s="100">
        <v>3</v>
      </c>
      <c r="C668" s="100">
        <v>1</v>
      </c>
      <c r="D668" s="100" t="str">
        <f t="shared" si="29"/>
        <v>31</v>
      </c>
      <c r="E668" s="100">
        <v>3</v>
      </c>
      <c r="F668" s="100" t="s">
        <v>433</v>
      </c>
    </row>
    <row r="669" spans="1:6">
      <c r="A669" s="100">
        <v>8</v>
      </c>
      <c r="B669" s="100">
        <v>3</v>
      </c>
      <c r="C669" s="100">
        <v>2</v>
      </c>
      <c r="D669" s="100" t="str">
        <f t="shared" si="29"/>
        <v>32</v>
      </c>
      <c r="E669" s="100">
        <v>4</v>
      </c>
      <c r="F669" s="100" t="s">
        <v>433</v>
      </c>
    </row>
    <row r="670" spans="1:6">
      <c r="A670" s="100">
        <v>9</v>
      </c>
      <c r="B670" s="100">
        <v>3</v>
      </c>
      <c r="C670" s="100">
        <v>3</v>
      </c>
      <c r="D670" s="100" t="str">
        <f t="shared" si="29"/>
        <v>33</v>
      </c>
      <c r="E670" s="100">
        <v>5</v>
      </c>
      <c r="F670" s="100" t="s">
        <v>432</v>
      </c>
    </row>
    <row r="672" spans="1:6">
      <c r="A672" s="100" t="s">
        <v>478</v>
      </c>
      <c r="B672" s="100" t="s">
        <v>29</v>
      </c>
      <c r="C672" s="100" t="s">
        <v>387</v>
      </c>
      <c r="D672" s="100" t="s">
        <v>17</v>
      </c>
      <c r="E672" s="99" t="s">
        <v>361</v>
      </c>
      <c r="F672" s="100" t="s">
        <v>477</v>
      </c>
    </row>
    <row r="673" spans="1:7">
      <c r="A673" s="100">
        <v>1</v>
      </c>
      <c r="B673" s="100">
        <v>1</v>
      </c>
      <c r="C673" s="100">
        <v>1</v>
      </c>
      <c r="D673" s="100">
        <v>1</v>
      </c>
      <c r="E673" s="100" t="str">
        <f>CONCATENATE(B673,C673,D673)</f>
        <v>111</v>
      </c>
      <c r="F673" s="100">
        <v>1</v>
      </c>
      <c r="G673" s="100" t="s">
        <v>432</v>
      </c>
    </row>
    <row r="674" spans="1:7">
      <c r="A674" s="100">
        <v>2</v>
      </c>
      <c r="B674" s="100">
        <v>1</v>
      </c>
      <c r="C674" s="100">
        <v>1</v>
      </c>
      <c r="D674" s="100">
        <v>2</v>
      </c>
      <c r="E674" s="100" t="str">
        <f t="shared" ref="E674:E702" si="30">CONCATENATE(B674,C674,D674)</f>
        <v>112</v>
      </c>
      <c r="F674" s="100">
        <v>1</v>
      </c>
      <c r="G674" s="100" t="s">
        <v>432</v>
      </c>
    </row>
    <row r="675" spans="1:7">
      <c r="A675" s="100">
        <v>3</v>
      </c>
      <c r="B675" s="100">
        <v>1</v>
      </c>
      <c r="C675" s="100">
        <v>1</v>
      </c>
      <c r="D675" s="100">
        <v>3</v>
      </c>
      <c r="E675" s="100" t="str">
        <f t="shared" si="30"/>
        <v>113</v>
      </c>
      <c r="F675" s="100">
        <v>3</v>
      </c>
      <c r="G675" s="100" t="s">
        <v>433</v>
      </c>
    </row>
    <row r="676" spans="1:7">
      <c r="A676" s="100">
        <v>4</v>
      </c>
      <c r="B676" s="100">
        <v>1</v>
      </c>
      <c r="C676" s="100">
        <v>1</v>
      </c>
      <c r="D676" s="100">
        <v>4</v>
      </c>
      <c r="E676" s="100" t="str">
        <f t="shared" si="30"/>
        <v>114</v>
      </c>
      <c r="F676" s="100">
        <v>4</v>
      </c>
      <c r="G676" s="100" t="s">
        <v>433</v>
      </c>
    </row>
    <row r="677" spans="1:7">
      <c r="A677" s="100">
        <v>5</v>
      </c>
      <c r="B677" s="100">
        <v>1</v>
      </c>
      <c r="C677" s="100">
        <v>1</v>
      </c>
      <c r="D677" s="100">
        <v>5</v>
      </c>
      <c r="E677" s="100" t="str">
        <f t="shared" si="30"/>
        <v>115</v>
      </c>
      <c r="F677" s="100">
        <v>4</v>
      </c>
      <c r="G677" s="100" t="s">
        <v>433</v>
      </c>
    </row>
    <row r="678" spans="1:7">
      <c r="A678" s="100">
        <v>6</v>
      </c>
      <c r="B678" s="100">
        <v>1</v>
      </c>
      <c r="C678" s="100">
        <v>2</v>
      </c>
      <c r="D678" s="100">
        <v>1</v>
      </c>
      <c r="E678" s="100" t="str">
        <f t="shared" si="30"/>
        <v>121</v>
      </c>
      <c r="F678" s="100">
        <v>2</v>
      </c>
      <c r="G678" s="100" t="s">
        <v>433</v>
      </c>
    </row>
    <row r="679" spans="1:7">
      <c r="A679" s="100">
        <v>7</v>
      </c>
      <c r="B679" s="100">
        <v>1</v>
      </c>
      <c r="C679" s="100">
        <v>2</v>
      </c>
      <c r="D679" s="100">
        <v>2</v>
      </c>
      <c r="E679" s="100" t="str">
        <f t="shared" si="30"/>
        <v>122</v>
      </c>
      <c r="F679" s="100">
        <v>3</v>
      </c>
      <c r="G679" s="100" t="s">
        <v>433</v>
      </c>
    </row>
    <row r="680" spans="1:7">
      <c r="A680" s="100">
        <v>8</v>
      </c>
      <c r="B680" s="100">
        <v>1</v>
      </c>
      <c r="C680" s="100">
        <v>2</v>
      </c>
      <c r="D680" s="100">
        <v>3</v>
      </c>
      <c r="E680" s="100" t="str">
        <f t="shared" si="30"/>
        <v>123</v>
      </c>
      <c r="F680" s="100">
        <v>4</v>
      </c>
      <c r="G680" s="100" t="s">
        <v>433</v>
      </c>
    </row>
    <row r="681" spans="1:7">
      <c r="A681" s="100">
        <v>9</v>
      </c>
      <c r="B681" s="100">
        <v>1</v>
      </c>
      <c r="C681" s="100">
        <v>2</v>
      </c>
      <c r="D681" s="100">
        <v>4</v>
      </c>
      <c r="E681" s="100" t="str">
        <f t="shared" si="30"/>
        <v>124</v>
      </c>
      <c r="F681" s="100">
        <v>4</v>
      </c>
      <c r="G681" s="100" t="s">
        <v>433</v>
      </c>
    </row>
    <row r="682" spans="1:7">
      <c r="A682" s="100">
        <v>10</v>
      </c>
      <c r="B682" s="100">
        <v>1</v>
      </c>
      <c r="C682" s="100">
        <v>2</v>
      </c>
      <c r="D682" s="100">
        <v>5</v>
      </c>
      <c r="E682" s="100" t="str">
        <f t="shared" si="30"/>
        <v>125</v>
      </c>
      <c r="F682" s="100">
        <v>5</v>
      </c>
      <c r="G682" s="100" t="s">
        <v>433</v>
      </c>
    </row>
    <row r="683" spans="1:7">
      <c r="A683" s="100">
        <v>11</v>
      </c>
      <c r="B683" s="100">
        <v>2</v>
      </c>
      <c r="C683" s="100">
        <v>1</v>
      </c>
      <c r="D683" s="100">
        <v>1</v>
      </c>
      <c r="E683" s="100" t="str">
        <f t="shared" si="30"/>
        <v>211</v>
      </c>
      <c r="F683" s="100">
        <v>2</v>
      </c>
      <c r="G683" s="100" t="s">
        <v>433</v>
      </c>
    </row>
    <row r="684" spans="1:7">
      <c r="A684" s="100">
        <v>12</v>
      </c>
      <c r="B684" s="100">
        <v>2</v>
      </c>
      <c r="C684" s="100">
        <v>1</v>
      </c>
      <c r="D684" s="100">
        <v>2</v>
      </c>
      <c r="E684" s="100" t="str">
        <f t="shared" si="30"/>
        <v>212</v>
      </c>
      <c r="F684" s="100">
        <v>3</v>
      </c>
      <c r="G684" s="100" t="s">
        <v>433</v>
      </c>
    </row>
    <row r="685" spans="1:7">
      <c r="A685" s="100">
        <v>13</v>
      </c>
      <c r="B685" s="100">
        <v>2</v>
      </c>
      <c r="C685" s="100">
        <v>1</v>
      </c>
      <c r="D685" s="100">
        <v>3</v>
      </c>
      <c r="E685" s="100" t="str">
        <f t="shared" si="30"/>
        <v>213</v>
      </c>
      <c r="F685" s="100">
        <v>4</v>
      </c>
      <c r="G685" s="100" t="s">
        <v>433</v>
      </c>
    </row>
    <row r="686" spans="1:7">
      <c r="A686" s="100">
        <v>14</v>
      </c>
      <c r="B686" s="100">
        <v>2</v>
      </c>
      <c r="C686" s="100">
        <v>1</v>
      </c>
      <c r="D686" s="100">
        <v>4</v>
      </c>
      <c r="E686" s="100" t="str">
        <f t="shared" si="30"/>
        <v>214</v>
      </c>
      <c r="F686" s="100">
        <v>4</v>
      </c>
      <c r="G686" s="100" t="s">
        <v>433</v>
      </c>
    </row>
    <row r="687" spans="1:7">
      <c r="A687" s="100">
        <v>15</v>
      </c>
      <c r="B687" s="100">
        <v>2</v>
      </c>
      <c r="C687" s="100">
        <v>1</v>
      </c>
      <c r="D687" s="100">
        <v>5</v>
      </c>
      <c r="E687" s="100" t="str">
        <f t="shared" si="30"/>
        <v>215</v>
      </c>
      <c r="F687" s="100">
        <v>5</v>
      </c>
      <c r="G687" s="100" t="s">
        <v>433</v>
      </c>
    </row>
    <row r="688" spans="1:7">
      <c r="A688" s="100">
        <v>16</v>
      </c>
      <c r="B688" s="100">
        <v>2</v>
      </c>
      <c r="C688" s="100">
        <v>2</v>
      </c>
      <c r="D688" s="100">
        <v>1</v>
      </c>
      <c r="E688" s="100" t="str">
        <f t="shared" si="30"/>
        <v>221</v>
      </c>
      <c r="F688" s="100">
        <v>3</v>
      </c>
      <c r="G688" s="100" t="s">
        <v>433</v>
      </c>
    </row>
    <row r="689" spans="1:7">
      <c r="A689" s="100">
        <v>17</v>
      </c>
      <c r="B689" s="100">
        <v>2</v>
      </c>
      <c r="C689" s="100">
        <v>2</v>
      </c>
      <c r="D689" s="100">
        <v>2</v>
      </c>
      <c r="E689" s="100" t="str">
        <f t="shared" si="30"/>
        <v>222</v>
      </c>
      <c r="F689" s="100">
        <v>4</v>
      </c>
      <c r="G689" s="100" t="s">
        <v>433</v>
      </c>
    </row>
    <row r="690" spans="1:7">
      <c r="A690" s="100">
        <v>18</v>
      </c>
      <c r="B690" s="100">
        <v>2</v>
      </c>
      <c r="C690" s="100">
        <v>2</v>
      </c>
      <c r="D690" s="100">
        <v>3</v>
      </c>
      <c r="E690" s="100" t="str">
        <f t="shared" si="30"/>
        <v>223</v>
      </c>
      <c r="F690" s="100">
        <v>4</v>
      </c>
      <c r="G690" s="100" t="s">
        <v>433</v>
      </c>
    </row>
    <row r="691" spans="1:7">
      <c r="A691" s="100">
        <v>19</v>
      </c>
      <c r="B691" s="100">
        <v>2</v>
      </c>
      <c r="C691" s="100">
        <v>2</v>
      </c>
      <c r="D691" s="100">
        <v>4</v>
      </c>
      <c r="E691" s="100" t="str">
        <f t="shared" si="30"/>
        <v>224</v>
      </c>
      <c r="F691" s="100">
        <v>5</v>
      </c>
      <c r="G691" s="100" t="s">
        <v>433</v>
      </c>
    </row>
    <row r="692" spans="1:7">
      <c r="A692" s="100">
        <v>20</v>
      </c>
      <c r="B692" s="100">
        <v>2</v>
      </c>
      <c r="C692" s="100">
        <v>2</v>
      </c>
      <c r="D692" s="100">
        <v>5</v>
      </c>
      <c r="E692" s="100" t="str">
        <f t="shared" si="30"/>
        <v>225</v>
      </c>
      <c r="F692" s="100">
        <v>6</v>
      </c>
      <c r="G692" s="100" t="s">
        <v>433</v>
      </c>
    </row>
    <row r="693" spans="1:7">
      <c r="A693" s="100">
        <v>21</v>
      </c>
      <c r="B693" s="100">
        <v>3</v>
      </c>
      <c r="C693" s="100">
        <v>1</v>
      </c>
      <c r="D693" s="100">
        <v>1</v>
      </c>
      <c r="E693" s="100" t="str">
        <f t="shared" si="30"/>
        <v>311</v>
      </c>
      <c r="F693" s="100">
        <v>3</v>
      </c>
      <c r="G693" s="100" t="s">
        <v>433</v>
      </c>
    </row>
    <row r="694" spans="1:7">
      <c r="A694" s="100">
        <v>22</v>
      </c>
      <c r="B694" s="100">
        <v>3</v>
      </c>
      <c r="C694" s="100">
        <v>1</v>
      </c>
      <c r="D694" s="100">
        <v>2</v>
      </c>
      <c r="E694" s="100" t="str">
        <f t="shared" si="30"/>
        <v>312</v>
      </c>
      <c r="F694" s="100">
        <v>4</v>
      </c>
      <c r="G694" s="100" t="s">
        <v>433</v>
      </c>
    </row>
    <row r="695" spans="1:7">
      <c r="A695" s="100">
        <v>23</v>
      </c>
      <c r="B695" s="100">
        <v>3</v>
      </c>
      <c r="C695" s="100">
        <v>1</v>
      </c>
      <c r="D695" s="100">
        <v>3</v>
      </c>
      <c r="E695" s="100" t="str">
        <f t="shared" si="30"/>
        <v>313</v>
      </c>
      <c r="F695" s="100">
        <v>4</v>
      </c>
      <c r="G695" s="100" t="s">
        <v>433</v>
      </c>
    </row>
    <row r="696" spans="1:7">
      <c r="A696" s="100">
        <v>24</v>
      </c>
      <c r="B696" s="100">
        <v>3</v>
      </c>
      <c r="C696" s="100">
        <v>1</v>
      </c>
      <c r="D696" s="100">
        <v>4</v>
      </c>
      <c r="E696" s="100" t="str">
        <f t="shared" si="30"/>
        <v>314</v>
      </c>
      <c r="F696" s="100">
        <v>5</v>
      </c>
      <c r="G696" s="100" t="s">
        <v>433</v>
      </c>
    </row>
    <row r="697" spans="1:7">
      <c r="A697" s="100">
        <v>25</v>
      </c>
      <c r="B697" s="100">
        <v>3</v>
      </c>
      <c r="C697" s="100">
        <v>1</v>
      </c>
      <c r="D697" s="100">
        <v>5</v>
      </c>
      <c r="E697" s="100" t="str">
        <f t="shared" si="30"/>
        <v>315</v>
      </c>
      <c r="F697" s="100">
        <v>6</v>
      </c>
      <c r="G697" s="100" t="s">
        <v>433</v>
      </c>
    </row>
    <row r="698" spans="1:7">
      <c r="A698" s="100">
        <v>26</v>
      </c>
      <c r="B698" s="100">
        <v>3</v>
      </c>
      <c r="C698" s="100">
        <v>2</v>
      </c>
      <c r="D698" s="100">
        <v>1</v>
      </c>
      <c r="E698" s="100" t="str">
        <f t="shared" si="30"/>
        <v>321</v>
      </c>
      <c r="F698" s="100">
        <v>4</v>
      </c>
      <c r="G698" s="100" t="s">
        <v>433</v>
      </c>
    </row>
    <row r="699" spans="1:7">
      <c r="A699" s="100">
        <v>27</v>
      </c>
      <c r="B699" s="100">
        <v>3</v>
      </c>
      <c r="C699" s="100">
        <v>2</v>
      </c>
      <c r="D699" s="100">
        <v>2</v>
      </c>
      <c r="E699" s="100" t="str">
        <f t="shared" si="30"/>
        <v>322</v>
      </c>
      <c r="F699" s="100">
        <v>4</v>
      </c>
      <c r="G699" s="100" t="s">
        <v>433</v>
      </c>
    </row>
    <row r="700" spans="1:7">
      <c r="A700" s="100">
        <v>28</v>
      </c>
      <c r="B700" s="100">
        <v>3</v>
      </c>
      <c r="C700" s="100">
        <v>2</v>
      </c>
      <c r="D700" s="100">
        <v>3</v>
      </c>
      <c r="E700" s="100" t="str">
        <f t="shared" si="30"/>
        <v>323</v>
      </c>
      <c r="F700" s="100">
        <v>5</v>
      </c>
      <c r="G700" s="100" t="s">
        <v>433</v>
      </c>
    </row>
    <row r="701" spans="1:7">
      <c r="A701" s="100">
        <v>29</v>
      </c>
      <c r="B701" s="100">
        <v>3</v>
      </c>
      <c r="C701" s="100">
        <v>2</v>
      </c>
      <c r="D701" s="100">
        <v>4</v>
      </c>
      <c r="E701" s="100" t="str">
        <f t="shared" si="30"/>
        <v>324</v>
      </c>
      <c r="F701" s="100">
        <v>7</v>
      </c>
      <c r="G701" s="100" t="s">
        <v>432</v>
      </c>
    </row>
    <row r="702" spans="1:7">
      <c r="A702" s="100">
        <v>30</v>
      </c>
      <c r="B702" s="100">
        <v>3</v>
      </c>
      <c r="C702" s="100">
        <v>2</v>
      </c>
      <c r="D702" s="100">
        <v>5</v>
      </c>
      <c r="E702" s="100" t="str">
        <f t="shared" si="30"/>
        <v>325</v>
      </c>
      <c r="F702" s="100">
        <v>7</v>
      </c>
      <c r="G702" s="100" t="s">
        <v>432</v>
      </c>
    </row>
    <row r="704" spans="1:7">
      <c r="A704" s="100" t="s">
        <v>480</v>
      </c>
      <c r="B704" s="100" t="s">
        <v>434</v>
      </c>
      <c r="C704" s="100" t="s">
        <v>435</v>
      </c>
      <c r="D704" s="99" t="s">
        <v>361</v>
      </c>
      <c r="E704" s="100" t="s">
        <v>70</v>
      </c>
    </row>
    <row r="705" spans="1:6">
      <c r="A705" s="100">
        <v>1</v>
      </c>
      <c r="B705" s="100">
        <v>1</v>
      </c>
      <c r="C705" s="100">
        <v>1</v>
      </c>
      <c r="D705" s="100" t="str">
        <f>CONCATENATE(B705,C705)</f>
        <v>11</v>
      </c>
      <c r="E705" s="100">
        <v>1</v>
      </c>
      <c r="F705" s="100" t="s">
        <v>432</v>
      </c>
    </row>
    <row r="706" spans="1:6">
      <c r="A706" s="100">
        <v>2</v>
      </c>
      <c r="B706" s="100">
        <v>1</v>
      </c>
      <c r="C706" s="100">
        <v>2</v>
      </c>
      <c r="D706" s="100" t="str">
        <f t="shared" ref="D706:D713" si="31">CONCATENATE(B706,C706)</f>
        <v>12</v>
      </c>
      <c r="E706" s="100">
        <v>1</v>
      </c>
      <c r="F706" s="100" t="s">
        <v>433</v>
      </c>
    </row>
    <row r="707" spans="1:6">
      <c r="A707" s="100">
        <v>3</v>
      </c>
      <c r="B707" s="100">
        <v>1</v>
      </c>
      <c r="C707" s="100">
        <v>3</v>
      </c>
      <c r="D707" s="100" t="str">
        <f t="shared" si="31"/>
        <v>13</v>
      </c>
      <c r="E707" s="100">
        <v>1</v>
      </c>
      <c r="F707" s="100" t="s">
        <v>432</v>
      </c>
    </row>
    <row r="708" spans="1:6">
      <c r="A708" s="100">
        <v>4</v>
      </c>
      <c r="B708" s="100">
        <v>2</v>
      </c>
      <c r="C708" s="100">
        <v>1</v>
      </c>
      <c r="D708" s="100" t="str">
        <f t="shared" si="31"/>
        <v>21</v>
      </c>
      <c r="E708" s="100">
        <v>2</v>
      </c>
      <c r="F708" s="100" t="s">
        <v>432</v>
      </c>
    </row>
    <row r="709" spans="1:6">
      <c r="A709" s="100">
        <v>5</v>
      </c>
      <c r="B709" s="100">
        <v>2</v>
      </c>
      <c r="C709" s="100">
        <v>2</v>
      </c>
      <c r="D709" s="100" t="str">
        <f t="shared" si="31"/>
        <v>22</v>
      </c>
      <c r="E709" s="100">
        <v>2</v>
      </c>
      <c r="F709" s="100" t="s">
        <v>433</v>
      </c>
    </row>
    <row r="710" spans="1:6">
      <c r="A710" s="100">
        <v>6</v>
      </c>
      <c r="B710" s="100">
        <v>2</v>
      </c>
      <c r="C710" s="100">
        <v>3</v>
      </c>
      <c r="D710" s="100" t="str">
        <f t="shared" si="31"/>
        <v>23</v>
      </c>
      <c r="E710" s="100">
        <v>3</v>
      </c>
      <c r="F710" s="100" t="s">
        <v>432</v>
      </c>
    </row>
    <row r="711" spans="1:6">
      <c r="A711" s="100">
        <v>7</v>
      </c>
      <c r="B711" s="100">
        <v>3</v>
      </c>
      <c r="C711" s="100">
        <v>1</v>
      </c>
      <c r="D711" s="100" t="str">
        <f t="shared" si="31"/>
        <v>31</v>
      </c>
      <c r="E711" s="100">
        <v>3</v>
      </c>
      <c r="F711" s="100" t="s">
        <v>432</v>
      </c>
    </row>
    <row r="712" spans="1:6">
      <c r="A712" s="100">
        <v>8</v>
      </c>
      <c r="B712" s="100">
        <v>3</v>
      </c>
      <c r="C712" s="100">
        <v>2</v>
      </c>
      <c r="D712" s="100" t="str">
        <f t="shared" si="31"/>
        <v>32</v>
      </c>
      <c r="E712" s="100">
        <v>3</v>
      </c>
      <c r="F712" s="100" t="s">
        <v>433</v>
      </c>
    </row>
    <row r="713" spans="1:6">
      <c r="A713" s="100">
        <v>9</v>
      </c>
      <c r="B713" s="100">
        <v>3</v>
      </c>
      <c r="C713" s="100">
        <v>3</v>
      </c>
      <c r="D713" s="100" t="str">
        <f t="shared" si="31"/>
        <v>33</v>
      </c>
      <c r="E713" s="100">
        <v>3</v>
      </c>
      <c r="F713" s="100" t="s">
        <v>432</v>
      </c>
    </row>
    <row r="716" spans="1:6">
      <c r="A716" s="100" t="s">
        <v>482</v>
      </c>
      <c r="B716" s="100" t="s">
        <v>36</v>
      </c>
      <c r="C716" s="100" t="s">
        <v>17</v>
      </c>
      <c r="D716" s="99" t="s">
        <v>361</v>
      </c>
      <c r="E716" s="100" t="s">
        <v>481</v>
      </c>
    </row>
    <row r="717" spans="1:6">
      <c r="A717" s="100">
        <v>1</v>
      </c>
      <c r="B717" s="100">
        <v>1</v>
      </c>
      <c r="C717" s="100">
        <v>1</v>
      </c>
      <c r="D717" s="100" t="str">
        <f>CONCATENATE(B717,C717)</f>
        <v>11</v>
      </c>
      <c r="E717" s="100">
        <v>1</v>
      </c>
      <c r="F717" s="100" t="s">
        <v>432</v>
      </c>
    </row>
    <row r="718" spans="1:6">
      <c r="A718" s="100">
        <v>2</v>
      </c>
      <c r="B718" s="100">
        <v>1</v>
      </c>
      <c r="C718" s="100">
        <v>2</v>
      </c>
      <c r="D718" s="100" t="str">
        <f t="shared" ref="D718:D731" si="32">CONCATENATE(B718,C718)</f>
        <v>12</v>
      </c>
      <c r="E718" s="100">
        <v>1</v>
      </c>
      <c r="F718" s="100" t="s">
        <v>432</v>
      </c>
    </row>
    <row r="719" spans="1:6">
      <c r="A719" s="100">
        <v>3</v>
      </c>
      <c r="B719" s="100">
        <v>1</v>
      </c>
      <c r="C719" s="100">
        <v>3</v>
      </c>
      <c r="D719" s="100" t="str">
        <f t="shared" si="32"/>
        <v>13</v>
      </c>
      <c r="E719" s="100">
        <v>2</v>
      </c>
      <c r="F719" s="100" t="s">
        <v>433</v>
      </c>
    </row>
    <row r="720" spans="1:6">
      <c r="A720" s="100">
        <v>4</v>
      </c>
      <c r="B720" s="100">
        <v>1</v>
      </c>
      <c r="C720" s="100">
        <v>4</v>
      </c>
      <c r="D720" s="100" t="str">
        <f t="shared" si="32"/>
        <v>14</v>
      </c>
      <c r="E720" s="100">
        <v>3</v>
      </c>
      <c r="F720" s="100" t="s">
        <v>433</v>
      </c>
    </row>
    <row r="721" spans="1:6">
      <c r="A721" s="100">
        <v>5</v>
      </c>
      <c r="B721" s="100">
        <v>1</v>
      </c>
      <c r="C721" s="100">
        <v>5</v>
      </c>
      <c r="D721" s="100" t="str">
        <f t="shared" si="32"/>
        <v>15</v>
      </c>
      <c r="E721" s="100">
        <v>3</v>
      </c>
      <c r="F721" s="100" t="s">
        <v>433</v>
      </c>
    </row>
    <row r="722" spans="1:6">
      <c r="A722" s="100">
        <v>6</v>
      </c>
      <c r="B722" s="100">
        <v>2</v>
      </c>
      <c r="C722" s="100">
        <v>1</v>
      </c>
      <c r="D722" s="100" t="str">
        <f t="shared" si="32"/>
        <v>21</v>
      </c>
      <c r="E722" s="100">
        <v>1</v>
      </c>
      <c r="F722" s="100" t="s">
        <v>433</v>
      </c>
    </row>
    <row r="723" spans="1:6">
      <c r="A723" s="100">
        <v>7</v>
      </c>
      <c r="B723" s="100">
        <v>2</v>
      </c>
      <c r="C723" s="100">
        <v>2</v>
      </c>
      <c r="D723" s="100" t="str">
        <f t="shared" si="32"/>
        <v>22</v>
      </c>
      <c r="E723" s="100">
        <v>2</v>
      </c>
      <c r="F723" s="100" t="s">
        <v>433</v>
      </c>
    </row>
    <row r="724" spans="1:6">
      <c r="A724" s="100">
        <v>8</v>
      </c>
      <c r="B724" s="100">
        <v>2</v>
      </c>
      <c r="C724" s="100">
        <v>3</v>
      </c>
      <c r="D724" s="100" t="str">
        <f t="shared" si="32"/>
        <v>23</v>
      </c>
      <c r="E724" s="100">
        <v>3</v>
      </c>
      <c r="F724" s="100" t="s">
        <v>433</v>
      </c>
    </row>
    <row r="725" spans="1:6">
      <c r="A725" s="100">
        <v>9</v>
      </c>
      <c r="B725" s="100">
        <v>2</v>
      </c>
      <c r="C725" s="100">
        <v>4</v>
      </c>
      <c r="D725" s="100" t="str">
        <f t="shared" si="32"/>
        <v>24</v>
      </c>
      <c r="E725" s="100">
        <v>3</v>
      </c>
      <c r="F725" s="100" t="s">
        <v>433</v>
      </c>
    </row>
    <row r="726" spans="1:6">
      <c r="A726" s="100">
        <v>10</v>
      </c>
      <c r="B726" s="100">
        <v>2</v>
      </c>
      <c r="C726" s="100">
        <v>5</v>
      </c>
      <c r="D726" s="100" t="str">
        <f t="shared" si="32"/>
        <v>25</v>
      </c>
      <c r="E726" s="100">
        <v>4</v>
      </c>
      <c r="F726" s="100" t="s">
        <v>433</v>
      </c>
    </row>
    <row r="727" spans="1:6">
      <c r="A727" s="100">
        <v>11</v>
      </c>
      <c r="B727" s="100">
        <v>3</v>
      </c>
      <c r="C727" s="100">
        <v>1</v>
      </c>
      <c r="D727" s="100" t="str">
        <f t="shared" si="32"/>
        <v>31</v>
      </c>
      <c r="E727" s="100">
        <v>2</v>
      </c>
      <c r="F727" s="100" t="s">
        <v>433</v>
      </c>
    </row>
    <row r="728" spans="1:6">
      <c r="A728" s="100">
        <v>12</v>
      </c>
      <c r="B728" s="100">
        <v>3</v>
      </c>
      <c r="C728" s="100">
        <v>2</v>
      </c>
      <c r="D728" s="100" t="str">
        <f t="shared" si="32"/>
        <v>32</v>
      </c>
      <c r="E728" s="100">
        <v>3</v>
      </c>
      <c r="F728" s="100" t="s">
        <v>433</v>
      </c>
    </row>
    <row r="729" spans="1:6">
      <c r="A729" s="100">
        <v>13</v>
      </c>
      <c r="B729" s="100">
        <v>3</v>
      </c>
      <c r="C729" s="100">
        <v>3</v>
      </c>
      <c r="D729" s="100" t="str">
        <f t="shared" si="32"/>
        <v>33</v>
      </c>
      <c r="E729" s="100">
        <v>3</v>
      </c>
      <c r="F729" s="100" t="s">
        <v>433</v>
      </c>
    </row>
    <row r="730" spans="1:6">
      <c r="A730" s="100">
        <v>14</v>
      </c>
      <c r="B730" s="100">
        <v>3</v>
      </c>
      <c r="C730" s="100">
        <v>4</v>
      </c>
      <c r="D730" s="100" t="str">
        <f t="shared" si="32"/>
        <v>34</v>
      </c>
      <c r="E730" s="100">
        <v>4</v>
      </c>
      <c r="F730" s="100" t="s">
        <v>432</v>
      </c>
    </row>
    <row r="731" spans="1:6">
      <c r="A731" s="100">
        <v>15</v>
      </c>
      <c r="B731" s="100">
        <v>3</v>
      </c>
      <c r="C731" s="100">
        <v>5</v>
      </c>
      <c r="D731" s="100" t="str">
        <f t="shared" si="32"/>
        <v>35</v>
      </c>
      <c r="E731" s="100">
        <v>4</v>
      </c>
      <c r="F731" s="100" t="s">
        <v>432</v>
      </c>
    </row>
    <row r="733" spans="1:6">
      <c r="A733" s="100" t="s">
        <v>484</v>
      </c>
      <c r="B733" s="100" t="s">
        <v>29</v>
      </c>
      <c r="C733" s="100" t="s">
        <v>17</v>
      </c>
      <c r="D733" s="99" t="s">
        <v>361</v>
      </c>
      <c r="E733" s="100" t="s">
        <v>483</v>
      </c>
    </row>
    <row r="734" spans="1:6">
      <c r="A734" s="100">
        <v>1</v>
      </c>
      <c r="B734" s="100">
        <v>1</v>
      </c>
      <c r="C734" s="100">
        <v>1</v>
      </c>
      <c r="D734" s="100" t="str">
        <f>CONCATENATE(B734,C734)</f>
        <v>11</v>
      </c>
      <c r="E734" s="100">
        <v>1</v>
      </c>
      <c r="F734" s="100" t="s">
        <v>432</v>
      </c>
    </row>
    <row r="735" spans="1:6">
      <c r="A735" s="100">
        <v>2</v>
      </c>
      <c r="B735" s="100">
        <v>1</v>
      </c>
      <c r="C735" s="100">
        <v>2</v>
      </c>
      <c r="D735" s="100" t="str">
        <f t="shared" ref="D735:D748" si="33">CONCATENATE(B735,C735)</f>
        <v>12</v>
      </c>
      <c r="E735" s="100">
        <v>1</v>
      </c>
      <c r="F735" s="100" t="s">
        <v>432</v>
      </c>
    </row>
    <row r="736" spans="1:6">
      <c r="A736" s="100">
        <v>3</v>
      </c>
      <c r="B736" s="100">
        <v>1</v>
      </c>
      <c r="C736" s="100">
        <v>3</v>
      </c>
      <c r="D736" s="100" t="str">
        <f t="shared" si="33"/>
        <v>13</v>
      </c>
      <c r="E736" s="100">
        <v>2</v>
      </c>
      <c r="F736" s="100" t="s">
        <v>433</v>
      </c>
    </row>
    <row r="737" spans="1:6">
      <c r="A737" s="100">
        <v>4</v>
      </c>
      <c r="B737" s="100">
        <v>1</v>
      </c>
      <c r="C737" s="100">
        <v>4</v>
      </c>
      <c r="D737" s="100" t="str">
        <f t="shared" si="33"/>
        <v>14</v>
      </c>
      <c r="E737" s="100">
        <v>3</v>
      </c>
      <c r="F737" s="100" t="s">
        <v>433</v>
      </c>
    </row>
    <row r="738" spans="1:6">
      <c r="A738" s="100">
        <v>5</v>
      </c>
      <c r="B738" s="100">
        <v>1</v>
      </c>
      <c r="C738" s="100">
        <v>5</v>
      </c>
      <c r="D738" s="100" t="str">
        <f t="shared" si="33"/>
        <v>15</v>
      </c>
      <c r="E738" s="100">
        <v>3</v>
      </c>
      <c r="F738" s="100" t="s">
        <v>433</v>
      </c>
    </row>
    <row r="739" spans="1:6">
      <c r="A739" s="100">
        <v>6</v>
      </c>
      <c r="B739" s="100">
        <v>2</v>
      </c>
      <c r="C739" s="100">
        <v>1</v>
      </c>
      <c r="D739" s="100" t="str">
        <f t="shared" si="33"/>
        <v>21</v>
      </c>
      <c r="E739" s="100">
        <v>1</v>
      </c>
      <c r="F739" s="100" t="s">
        <v>433</v>
      </c>
    </row>
    <row r="740" spans="1:6">
      <c r="A740" s="100">
        <v>7</v>
      </c>
      <c r="B740" s="100">
        <v>2</v>
      </c>
      <c r="C740" s="100">
        <v>2</v>
      </c>
      <c r="D740" s="100" t="str">
        <f t="shared" si="33"/>
        <v>22</v>
      </c>
      <c r="E740" s="100">
        <v>2</v>
      </c>
      <c r="F740" s="100" t="s">
        <v>433</v>
      </c>
    </row>
    <row r="741" spans="1:6">
      <c r="A741" s="100">
        <v>8</v>
      </c>
      <c r="B741" s="100">
        <v>2</v>
      </c>
      <c r="C741" s="100">
        <v>3</v>
      </c>
      <c r="D741" s="100" t="str">
        <f t="shared" si="33"/>
        <v>23</v>
      </c>
      <c r="E741" s="100">
        <v>3</v>
      </c>
      <c r="F741" s="100" t="s">
        <v>433</v>
      </c>
    </row>
    <row r="742" spans="1:6">
      <c r="A742" s="100">
        <v>9</v>
      </c>
      <c r="B742" s="100">
        <v>2</v>
      </c>
      <c r="C742" s="100">
        <v>4</v>
      </c>
      <c r="D742" s="100" t="str">
        <f t="shared" si="33"/>
        <v>24</v>
      </c>
      <c r="E742" s="100">
        <v>3</v>
      </c>
      <c r="F742" s="100" t="s">
        <v>433</v>
      </c>
    </row>
    <row r="743" spans="1:6">
      <c r="A743" s="100">
        <v>10</v>
      </c>
      <c r="B743" s="100">
        <v>2</v>
      </c>
      <c r="C743" s="100">
        <v>5</v>
      </c>
      <c r="D743" s="100" t="str">
        <f t="shared" si="33"/>
        <v>25</v>
      </c>
      <c r="E743" s="100">
        <v>4</v>
      </c>
      <c r="F743" s="100" t="s">
        <v>433</v>
      </c>
    </row>
    <row r="744" spans="1:6">
      <c r="A744" s="100">
        <v>11</v>
      </c>
      <c r="B744" s="100">
        <v>3</v>
      </c>
      <c r="C744" s="100">
        <v>1</v>
      </c>
      <c r="D744" s="100" t="str">
        <f t="shared" si="33"/>
        <v>31</v>
      </c>
      <c r="E744" s="100">
        <v>2</v>
      </c>
      <c r="F744" s="100" t="s">
        <v>433</v>
      </c>
    </row>
    <row r="745" spans="1:6">
      <c r="A745" s="100">
        <v>12</v>
      </c>
      <c r="B745" s="100">
        <v>3</v>
      </c>
      <c r="C745" s="100">
        <v>2</v>
      </c>
      <c r="D745" s="100" t="str">
        <f t="shared" si="33"/>
        <v>32</v>
      </c>
      <c r="E745" s="100">
        <v>3</v>
      </c>
      <c r="F745" s="100" t="s">
        <v>433</v>
      </c>
    </row>
    <row r="746" spans="1:6">
      <c r="A746" s="100">
        <v>13</v>
      </c>
      <c r="B746" s="100">
        <v>3</v>
      </c>
      <c r="C746" s="100">
        <v>3</v>
      </c>
      <c r="D746" s="100" t="str">
        <f t="shared" si="33"/>
        <v>33</v>
      </c>
      <c r="E746" s="100">
        <v>3</v>
      </c>
      <c r="F746" s="100" t="s">
        <v>433</v>
      </c>
    </row>
    <row r="747" spans="1:6">
      <c r="A747" s="100">
        <v>14</v>
      </c>
      <c r="B747" s="100">
        <v>3</v>
      </c>
      <c r="C747" s="100">
        <v>4</v>
      </c>
      <c r="D747" s="100" t="str">
        <f t="shared" si="33"/>
        <v>34</v>
      </c>
      <c r="E747" s="100">
        <v>4</v>
      </c>
      <c r="F747" s="100" t="s">
        <v>432</v>
      </c>
    </row>
    <row r="748" spans="1:6">
      <c r="A748" s="100">
        <v>15</v>
      </c>
      <c r="B748" s="100">
        <v>3</v>
      </c>
      <c r="C748" s="100">
        <v>5</v>
      </c>
      <c r="D748" s="100" t="str">
        <f t="shared" si="33"/>
        <v>35</v>
      </c>
      <c r="E748" s="100">
        <v>4</v>
      </c>
      <c r="F748" s="100" t="s">
        <v>432</v>
      </c>
    </row>
    <row r="750" spans="1:6">
      <c r="A750" s="100" t="s">
        <v>487</v>
      </c>
      <c r="B750" s="100" t="s">
        <v>381</v>
      </c>
      <c r="C750" s="100" t="s">
        <v>488</v>
      </c>
      <c r="D750" s="99" t="s">
        <v>361</v>
      </c>
      <c r="E750" s="100" t="s">
        <v>485</v>
      </c>
    </row>
    <row r="751" spans="1:6">
      <c r="A751" s="100">
        <v>1</v>
      </c>
      <c r="B751" s="100">
        <v>1</v>
      </c>
      <c r="C751" s="100">
        <v>1</v>
      </c>
      <c r="D751" s="100" t="str">
        <f>CONCATENATE(B751,C751)</f>
        <v>11</v>
      </c>
      <c r="E751" s="100">
        <v>1</v>
      </c>
      <c r="F751" s="100" t="s">
        <v>432</v>
      </c>
    </row>
    <row r="752" spans="1:6">
      <c r="A752" s="100">
        <v>2</v>
      </c>
      <c r="B752" s="100">
        <v>1</v>
      </c>
      <c r="C752" s="100">
        <v>2</v>
      </c>
      <c r="D752" s="100" t="str">
        <f t="shared" ref="D752:D759" si="34">CONCATENATE(B752,C752)</f>
        <v>12</v>
      </c>
      <c r="E752" s="100">
        <v>1</v>
      </c>
      <c r="F752" s="100" t="s">
        <v>433</v>
      </c>
    </row>
    <row r="753" spans="1:7">
      <c r="A753" s="100">
        <v>3</v>
      </c>
      <c r="B753" s="100">
        <v>1</v>
      </c>
      <c r="C753" s="100">
        <v>3</v>
      </c>
      <c r="D753" s="100" t="str">
        <f t="shared" si="34"/>
        <v>13</v>
      </c>
      <c r="E753" s="100">
        <v>2</v>
      </c>
      <c r="F753" s="100" t="s">
        <v>433</v>
      </c>
    </row>
    <row r="754" spans="1:7">
      <c r="A754" s="100">
        <v>4</v>
      </c>
      <c r="B754" s="100">
        <v>2</v>
      </c>
      <c r="C754" s="100">
        <v>1</v>
      </c>
      <c r="D754" s="100" t="str">
        <f t="shared" si="34"/>
        <v>21</v>
      </c>
      <c r="E754" s="100">
        <v>2</v>
      </c>
      <c r="F754" s="100" t="s">
        <v>433</v>
      </c>
    </row>
    <row r="755" spans="1:7">
      <c r="A755" s="100">
        <v>5</v>
      </c>
      <c r="B755" s="100">
        <v>2</v>
      </c>
      <c r="C755" s="100">
        <v>2</v>
      </c>
      <c r="D755" s="100" t="str">
        <f t="shared" si="34"/>
        <v>22</v>
      </c>
      <c r="E755" s="100">
        <v>2</v>
      </c>
      <c r="F755" s="100" t="s">
        <v>433</v>
      </c>
    </row>
    <row r="756" spans="1:7">
      <c r="A756" s="100">
        <v>6</v>
      </c>
      <c r="B756" s="100">
        <v>2</v>
      </c>
      <c r="C756" s="100">
        <v>3</v>
      </c>
      <c r="D756" s="100" t="str">
        <f t="shared" si="34"/>
        <v>23</v>
      </c>
      <c r="E756" s="100">
        <v>2</v>
      </c>
      <c r="F756" s="100" t="s">
        <v>433</v>
      </c>
    </row>
    <row r="757" spans="1:7">
      <c r="A757" s="100">
        <v>7</v>
      </c>
      <c r="B757" s="100">
        <v>3</v>
      </c>
      <c r="C757" s="100">
        <v>1</v>
      </c>
      <c r="D757" s="100" t="str">
        <f t="shared" si="34"/>
        <v>31</v>
      </c>
      <c r="E757" s="100">
        <v>2</v>
      </c>
      <c r="F757" s="100" t="s">
        <v>433</v>
      </c>
    </row>
    <row r="758" spans="1:7">
      <c r="A758" s="100">
        <v>8</v>
      </c>
      <c r="B758" s="100">
        <v>3</v>
      </c>
      <c r="C758" s="100">
        <v>2</v>
      </c>
      <c r="D758" s="100" t="str">
        <f t="shared" si="34"/>
        <v>32</v>
      </c>
      <c r="E758" s="100">
        <v>3</v>
      </c>
      <c r="F758" s="100" t="s">
        <v>433</v>
      </c>
    </row>
    <row r="759" spans="1:7">
      <c r="A759" s="100">
        <v>9</v>
      </c>
      <c r="B759" s="100">
        <v>3</v>
      </c>
      <c r="C759" s="100">
        <v>3</v>
      </c>
      <c r="D759" s="100" t="str">
        <f t="shared" si="34"/>
        <v>33</v>
      </c>
      <c r="E759" s="100">
        <v>3</v>
      </c>
      <c r="F759" s="100" t="s">
        <v>432</v>
      </c>
    </row>
    <row r="761" spans="1:7">
      <c r="A761" s="100" t="s">
        <v>490</v>
      </c>
      <c r="B761" s="100" t="s">
        <v>485</v>
      </c>
      <c r="C761" s="100" t="s">
        <v>17</v>
      </c>
      <c r="D761" s="100" t="s">
        <v>15</v>
      </c>
      <c r="E761" s="99" t="s">
        <v>361</v>
      </c>
      <c r="F761" s="100" t="s">
        <v>489</v>
      </c>
    </row>
    <row r="762" spans="1:7">
      <c r="A762" s="100">
        <v>1</v>
      </c>
      <c r="B762" s="100">
        <v>1</v>
      </c>
      <c r="C762" s="100">
        <v>1</v>
      </c>
      <c r="D762" s="100">
        <v>1</v>
      </c>
      <c r="E762" s="100" t="str">
        <f>CONCATENATE(B762,C762,D762)</f>
        <v>111</v>
      </c>
      <c r="F762" s="100">
        <v>1</v>
      </c>
      <c r="G762" s="100" t="s">
        <v>432</v>
      </c>
    </row>
    <row r="763" spans="1:7">
      <c r="A763" s="100">
        <v>2</v>
      </c>
      <c r="B763" s="100">
        <v>1</v>
      </c>
      <c r="C763" s="100">
        <v>1</v>
      </c>
      <c r="D763" s="100">
        <v>2</v>
      </c>
      <c r="E763" s="100" t="str">
        <f t="shared" ref="E763:E791" si="35">CONCATENATE(B763,C763,D763)</f>
        <v>112</v>
      </c>
      <c r="F763" s="100">
        <v>1</v>
      </c>
      <c r="G763" s="100" t="s">
        <v>433</v>
      </c>
    </row>
    <row r="764" spans="1:7">
      <c r="A764" s="100">
        <v>3</v>
      </c>
      <c r="B764" s="100">
        <v>1</v>
      </c>
      <c r="C764" s="100">
        <v>2</v>
      </c>
      <c r="D764" s="100">
        <v>1</v>
      </c>
      <c r="E764" s="100" t="str">
        <f t="shared" si="35"/>
        <v>121</v>
      </c>
      <c r="F764" s="100">
        <v>1</v>
      </c>
      <c r="G764" s="100" t="s">
        <v>433</v>
      </c>
    </row>
    <row r="765" spans="1:7">
      <c r="A765" s="100">
        <v>4</v>
      </c>
      <c r="B765" s="100">
        <v>1</v>
      </c>
      <c r="C765" s="100">
        <v>2</v>
      </c>
      <c r="D765" s="100">
        <v>2</v>
      </c>
      <c r="E765" s="100" t="str">
        <f t="shared" si="35"/>
        <v>122</v>
      </c>
      <c r="F765" s="100">
        <v>2</v>
      </c>
      <c r="G765" s="100" t="s">
        <v>433</v>
      </c>
    </row>
    <row r="766" spans="1:7">
      <c r="A766" s="100">
        <v>5</v>
      </c>
      <c r="B766" s="100">
        <v>1</v>
      </c>
      <c r="C766" s="100">
        <v>3</v>
      </c>
      <c r="D766" s="100">
        <v>1</v>
      </c>
      <c r="E766" s="100" t="str">
        <f t="shared" si="35"/>
        <v>131</v>
      </c>
      <c r="F766" s="100">
        <v>2</v>
      </c>
      <c r="G766" s="100" t="s">
        <v>433</v>
      </c>
    </row>
    <row r="767" spans="1:7">
      <c r="A767" s="100">
        <v>6</v>
      </c>
      <c r="B767" s="100">
        <v>1</v>
      </c>
      <c r="C767" s="100">
        <v>3</v>
      </c>
      <c r="D767" s="100">
        <v>2</v>
      </c>
      <c r="E767" s="100" t="str">
        <f t="shared" si="35"/>
        <v>132</v>
      </c>
      <c r="F767" s="100">
        <v>2</v>
      </c>
      <c r="G767" s="100" t="s">
        <v>433</v>
      </c>
    </row>
    <row r="768" spans="1:7">
      <c r="A768" s="100">
        <v>7</v>
      </c>
      <c r="B768" s="100">
        <v>1</v>
      </c>
      <c r="C768" s="100">
        <v>4</v>
      </c>
      <c r="D768" s="100">
        <v>1</v>
      </c>
      <c r="E768" s="100" t="str">
        <f t="shared" si="35"/>
        <v>141</v>
      </c>
      <c r="F768" s="100">
        <v>2</v>
      </c>
      <c r="G768" s="100" t="s">
        <v>433</v>
      </c>
    </row>
    <row r="769" spans="1:7">
      <c r="A769" s="100">
        <v>8</v>
      </c>
      <c r="B769" s="100">
        <v>1</v>
      </c>
      <c r="C769" s="100">
        <v>4</v>
      </c>
      <c r="D769" s="100">
        <v>2</v>
      </c>
      <c r="E769" s="100" t="str">
        <f t="shared" si="35"/>
        <v>142</v>
      </c>
      <c r="F769" s="100">
        <v>3</v>
      </c>
      <c r="G769" s="100" t="s">
        <v>433</v>
      </c>
    </row>
    <row r="770" spans="1:7">
      <c r="A770" s="100">
        <v>9</v>
      </c>
      <c r="B770" s="100">
        <v>1</v>
      </c>
      <c r="C770" s="100">
        <v>5</v>
      </c>
      <c r="D770" s="100">
        <v>1</v>
      </c>
      <c r="E770" s="100" t="str">
        <f t="shared" si="35"/>
        <v>151</v>
      </c>
      <c r="F770" s="100">
        <v>3</v>
      </c>
      <c r="G770" s="100" t="s">
        <v>433</v>
      </c>
    </row>
    <row r="771" spans="1:7">
      <c r="A771" s="100">
        <v>10</v>
      </c>
      <c r="B771" s="100">
        <v>1</v>
      </c>
      <c r="C771" s="100">
        <v>5</v>
      </c>
      <c r="D771" s="100">
        <v>2</v>
      </c>
      <c r="E771" s="100" t="str">
        <f t="shared" si="35"/>
        <v>152</v>
      </c>
      <c r="F771" s="100">
        <v>3</v>
      </c>
      <c r="G771" s="100" t="s">
        <v>433</v>
      </c>
    </row>
    <row r="772" spans="1:7">
      <c r="A772" s="100">
        <v>11</v>
      </c>
      <c r="B772" s="100">
        <v>2</v>
      </c>
      <c r="C772" s="100">
        <v>1</v>
      </c>
      <c r="D772" s="100">
        <v>1</v>
      </c>
      <c r="E772" s="100" t="str">
        <f t="shared" si="35"/>
        <v>211</v>
      </c>
      <c r="F772" s="100">
        <v>1</v>
      </c>
      <c r="G772" s="100" t="s">
        <v>433</v>
      </c>
    </row>
    <row r="773" spans="1:7">
      <c r="A773" s="100">
        <v>12</v>
      </c>
      <c r="B773" s="100">
        <v>2</v>
      </c>
      <c r="C773" s="100">
        <v>1</v>
      </c>
      <c r="D773" s="100">
        <v>2</v>
      </c>
      <c r="E773" s="100" t="str">
        <f t="shared" si="35"/>
        <v>212</v>
      </c>
      <c r="F773" s="100">
        <v>2</v>
      </c>
      <c r="G773" s="100" t="s">
        <v>433</v>
      </c>
    </row>
    <row r="774" spans="1:7">
      <c r="A774" s="100">
        <v>13</v>
      </c>
      <c r="B774" s="100">
        <v>2</v>
      </c>
      <c r="C774" s="100">
        <v>2</v>
      </c>
      <c r="D774" s="100">
        <v>1</v>
      </c>
      <c r="E774" s="100" t="str">
        <f t="shared" si="35"/>
        <v>221</v>
      </c>
      <c r="F774" s="100">
        <v>2</v>
      </c>
      <c r="G774" s="100" t="s">
        <v>433</v>
      </c>
    </row>
    <row r="775" spans="1:7">
      <c r="A775" s="100">
        <v>14</v>
      </c>
      <c r="B775" s="100">
        <v>2</v>
      </c>
      <c r="C775" s="100">
        <v>2</v>
      </c>
      <c r="D775" s="100">
        <v>2</v>
      </c>
      <c r="E775" s="100" t="str">
        <f t="shared" si="35"/>
        <v>222</v>
      </c>
      <c r="F775" s="100">
        <v>2</v>
      </c>
      <c r="G775" s="100" t="s">
        <v>433</v>
      </c>
    </row>
    <row r="776" spans="1:7">
      <c r="A776" s="100">
        <v>15</v>
      </c>
      <c r="B776" s="100">
        <v>2</v>
      </c>
      <c r="C776" s="100">
        <v>3</v>
      </c>
      <c r="D776" s="100">
        <v>1</v>
      </c>
      <c r="E776" s="100" t="str">
        <f t="shared" si="35"/>
        <v>231</v>
      </c>
      <c r="F776" s="100">
        <v>2</v>
      </c>
      <c r="G776" s="100" t="s">
        <v>433</v>
      </c>
    </row>
    <row r="777" spans="1:7">
      <c r="A777" s="100">
        <v>16</v>
      </c>
      <c r="B777" s="100">
        <v>2</v>
      </c>
      <c r="C777" s="100">
        <v>3</v>
      </c>
      <c r="D777" s="100">
        <v>2</v>
      </c>
      <c r="E777" s="100" t="str">
        <f t="shared" si="35"/>
        <v>232</v>
      </c>
      <c r="F777" s="100">
        <v>3</v>
      </c>
      <c r="G777" s="100" t="s">
        <v>433</v>
      </c>
    </row>
    <row r="778" spans="1:7">
      <c r="A778" s="100">
        <v>17</v>
      </c>
      <c r="B778" s="100">
        <v>2</v>
      </c>
      <c r="C778" s="100">
        <v>4</v>
      </c>
      <c r="D778" s="100">
        <v>1</v>
      </c>
      <c r="E778" s="100" t="str">
        <f t="shared" si="35"/>
        <v>241</v>
      </c>
      <c r="F778" s="100">
        <v>3</v>
      </c>
      <c r="G778" s="100" t="s">
        <v>433</v>
      </c>
    </row>
    <row r="779" spans="1:7">
      <c r="A779" s="100">
        <v>18</v>
      </c>
      <c r="B779" s="100">
        <v>2</v>
      </c>
      <c r="C779" s="100">
        <v>4</v>
      </c>
      <c r="D779" s="100">
        <v>2</v>
      </c>
      <c r="E779" s="100" t="str">
        <f t="shared" si="35"/>
        <v>242</v>
      </c>
      <c r="F779" s="100">
        <v>3</v>
      </c>
      <c r="G779" s="100" t="s">
        <v>433</v>
      </c>
    </row>
    <row r="780" spans="1:7">
      <c r="A780" s="100">
        <v>19</v>
      </c>
      <c r="B780" s="100">
        <v>2</v>
      </c>
      <c r="C780" s="100">
        <v>5</v>
      </c>
      <c r="D780" s="100">
        <v>1</v>
      </c>
      <c r="E780" s="100" t="str">
        <f t="shared" si="35"/>
        <v>251</v>
      </c>
      <c r="F780" s="100">
        <v>3</v>
      </c>
      <c r="G780" s="100" t="s">
        <v>433</v>
      </c>
    </row>
    <row r="781" spans="1:7">
      <c r="A781" s="100">
        <v>20</v>
      </c>
      <c r="B781" s="100">
        <v>2</v>
      </c>
      <c r="C781" s="100">
        <v>5</v>
      </c>
      <c r="D781" s="100">
        <v>2</v>
      </c>
      <c r="E781" s="100" t="str">
        <f t="shared" si="35"/>
        <v>252</v>
      </c>
      <c r="F781" s="100">
        <v>4</v>
      </c>
      <c r="G781" s="100" t="s">
        <v>433</v>
      </c>
    </row>
    <row r="782" spans="1:7">
      <c r="A782" s="100">
        <v>21</v>
      </c>
      <c r="B782" s="100">
        <v>3</v>
      </c>
      <c r="C782" s="100">
        <v>1</v>
      </c>
      <c r="D782" s="100">
        <v>1</v>
      </c>
      <c r="E782" s="100" t="str">
        <f t="shared" si="35"/>
        <v>311</v>
      </c>
      <c r="F782" s="100">
        <v>2</v>
      </c>
      <c r="G782" s="100" t="s">
        <v>433</v>
      </c>
    </row>
    <row r="783" spans="1:7">
      <c r="A783" s="100">
        <v>22</v>
      </c>
      <c r="B783" s="100">
        <v>3</v>
      </c>
      <c r="C783" s="100">
        <v>1</v>
      </c>
      <c r="D783" s="100">
        <v>2</v>
      </c>
      <c r="E783" s="100" t="str">
        <f t="shared" si="35"/>
        <v>312</v>
      </c>
      <c r="F783" s="100">
        <v>2</v>
      </c>
      <c r="G783" s="100" t="s">
        <v>433</v>
      </c>
    </row>
    <row r="784" spans="1:7">
      <c r="A784" s="100">
        <v>23</v>
      </c>
      <c r="B784" s="100">
        <v>3</v>
      </c>
      <c r="C784" s="100">
        <v>2</v>
      </c>
      <c r="D784" s="100">
        <v>1</v>
      </c>
      <c r="E784" s="100" t="str">
        <f t="shared" si="35"/>
        <v>321</v>
      </c>
      <c r="F784" s="100">
        <v>2</v>
      </c>
      <c r="G784" s="100" t="s">
        <v>433</v>
      </c>
    </row>
    <row r="785" spans="1:7">
      <c r="A785" s="100">
        <v>24</v>
      </c>
      <c r="B785" s="100">
        <v>3</v>
      </c>
      <c r="C785" s="100">
        <v>2</v>
      </c>
      <c r="D785" s="100">
        <v>2</v>
      </c>
      <c r="E785" s="100" t="str">
        <f t="shared" si="35"/>
        <v>322</v>
      </c>
      <c r="F785" s="100">
        <v>3</v>
      </c>
      <c r="G785" s="100" t="s">
        <v>433</v>
      </c>
    </row>
    <row r="786" spans="1:7">
      <c r="A786" s="100">
        <v>25</v>
      </c>
      <c r="B786" s="100">
        <v>3</v>
      </c>
      <c r="C786" s="100">
        <v>3</v>
      </c>
      <c r="D786" s="100">
        <v>1</v>
      </c>
      <c r="E786" s="100" t="str">
        <f t="shared" si="35"/>
        <v>331</v>
      </c>
      <c r="F786" s="100">
        <v>3</v>
      </c>
      <c r="G786" s="100" t="s">
        <v>433</v>
      </c>
    </row>
    <row r="787" spans="1:7">
      <c r="A787" s="100">
        <v>26</v>
      </c>
      <c r="B787" s="100">
        <v>3</v>
      </c>
      <c r="C787" s="100">
        <v>3</v>
      </c>
      <c r="D787" s="100">
        <v>2</v>
      </c>
      <c r="E787" s="100" t="str">
        <f t="shared" si="35"/>
        <v>332</v>
      </c>
      <c r="F787" s="100">
        <v>3</v>
      </c>
      <c r="G787" s="100" t="s">
        <v>433</v>
      </c>
    </row>
    <row r="788" spans="1:7">
      <c r="A788" s="100">
        <v>27</v>
      </c>
      <c r="B788" s="100">
        <v>3</v>
      </c>
      <c r="C788" s="100">
        <v>4</v>
      </c>
      <c r="D788" s="100">
        <v>1</v>
      </c>
      <c r="E788" s="100" t="str">
        <f t="shared" si="35"/>
        <v>341</v>
      </c>
      <c r="F788" s="100">
        <v>3</v>
      </c>
      <c r="G788" s="100" t="s">
        <v>433</v>
      </c>
    </row>
    <row r="789" spans="1:7">
      <c r="A789" s="100">
        <v>28</v>
      </c>
      <c r="B789" s="100">
        <v>3</v>
      </c>
      <c r="C789" s="100">
        <v>4</v>
      </c>
      <c r="D789" s="100">
        <v>2</v>
      </c>
      <c r="E789" s="100" t="str">
        <f t="shared" si="35"/>
        <v>342</v>
      </c>
      <c r="F789" s="100">
        <v>4</v>
      </c>
      <c r="G789" s="100" t="s">
        <v>433</v>
      </c>
    </row>
    <row r="790" spans="1:7">
      <c r="A790" s="100">
        <v>29</v>
      </c>
      <c r="B790" s="100">
        <v>3</v>
      </c>
      <c r="C790" s="100">
        <v>5</v>
      </c>
      <c r="D790" s="100">
        <v>1</v>
      </c>
      <c r="E790" s="100" t="str">
        <f t="shared" si="35"/>
        <v>351</v>
      </c>
      <c r="F790" s="100">
        <v>4</v>
      </c>
      <c r="G790" s="100" t="s">
        <v>433</v>
      </c>
    </row>
    <row r="791" spans="1:7">
      <c r="A791" s="100">
        <v>30</v>
      </c>
      <c r="B791" s="100">
        <v>3</v>
      </c>
      <c r="C791" s="100">
        <v>5</v>
      </c>
      <c r="D791" s="100">
        <v>2</v>
      </c>
      <c r="E791" s="100" t="str">
        <f t="shared" si="35"/>
        <v>352</v>
      </c>
      <c r="F791" s="100">
        <v>4</v>
      </c>
      <c r="G791" s="100" t="s">
        <v>432</v>
      </c>
    </row>
    <row r="793" spans="1:7">
      <c r="A793" s="100" t="s">
        <v>492</v>
      </c>
      <c r="B793" s="100" t="s">
        <v>489</v>
      </c>
      <c r="C793" s="100" t="s">
        <v>483</v>
      </c>
      <c r="D793" s="100" t="s">
        <v>481</v>
      </c>
      <c r="E793" s="99" t="s">
        <v>361</v>
      </c>
      <c r="F793" s="100" t="s">
        <v>493</v>
      </c>
    </row>
    <row r="794" spans="1:7">
      <c r="A794" s="100">
        <v>1</v>
      </c>
      <c r="B794" s="100">
        <v>1</v>
      </c>
      <c r="C794" s="100">
        <v>1</v>
      </c>
      <c r="D794" s="100">
        <v>1</v>
      </c>
      <c r="E794" s="100" t="str">
        <f>CONCATENATE(B794,C794,D794)</f>
        <v>111</v>
      </c>
      <c r="F794" s="100">
        <v>1</v>
      </c>
      <c r="G794" s="100" t="s">
        <v>432</v>
      </c>
    </row>
    <row r="795" spans="1:7">
      <c r="A795" s="100">
        <v>2</v>
      </c>
      <c r="B795" s="100">
        <v>1</v>
      </c>
      <c r="C795" s="100">
        <v>1</v>
      </c>
      <c r="D795" s="100">
        <v>2</v>
      </c>
      <c r="E795" s="100" t="str">
        <f t="shared" ref="E795:E857" si="36">CONCATENATE(B795,C795,D795)</f>
        <v>112</v>
      </c>
      <c r="F795" s="100">
        <v>1</v>
      </c>
      <c r="G795" s="100" t="s">
        <v>432</v>
      </c>
    </row>
    <row r="796" spans="1:7">
      <c r="A796" s="100">
        <v>3</v>
      </c>
      <c r="B796" s="100">
        <v>1</v>
      </c>
      <c r="C796" s="100">
        <v>1</v>
      </c>
      <c r="D796" s="100">
        <v>3</v>
      </c>
      <c r="E796" s="100" t="str">
        <f t="shared" si="36"/>
        <v>113</v>
      </c>
      <c r="F796" s="100">
        <v>2</v>
      </c>
      <c r="G796" s="100" t="s">
        <v>433</v>
      </c>
    </row>
    <row r="797" spans="1:7">
      <c r="A797" s="100">
        <v>4</v>
      </c>
      <c r="B797" s="100">
        <v>1</v>
      </c>
      <c r="C797" s="100">
        <v>1</v>
      </c>
      <c r="D797" s="100">
        <v>4</v>
      </c>
      <c r="E797" s="100" t="str">
        <f t="shared" si="36"/>
        <v>114</v>
      </c>
      <c r="F797" s="100">
        <v>2</v>
      </c>
      <c r="G797" s="100" t="s">
        <v>433</v>
      </c>
    </row>
    <row r="798" spans="1:7">
      <c r="A798" s="100">
        <v>5</v>
      </c>
      <c r="B798" s="100">
        <v>1</v>
      </c>
      <c r="C798" s="100">
        <v>2</v>
      </c>
      <c r="D798" s="100">
        <v>1</v>
      </c>
      <c r="E798" s="100" t="str">
        <f t="shared" si="36"/>
        <v>121</v>
      </c>
      <c r="F798" s="100">
        <v>1</v>
      </c>
      <c r="G798" s="100" t="s">
        <v>433</v>
      </c>
    </row>
    <row r="799" spans="1:7">
      <c r="A799" s="100">
        <v>6</v>
      </c>
      <c r="B799" s="100">
        <v>1</v>
      </c>
      <c r="C799" s="100">
        <v>2</v>
      </c>
      <c r="D799" s="100">
        <v>2</v>
      </c>
      <c r="E799" s="100" t="str">
        <f t="shared" si="36"/>
        <v>122</v>
      </c>
      <c r="F799" s="100">
        <v>2</v>
      </c>
      <c r="G799" s="100" t="s">
        <v>433</v>
      </c>
    </row>
    <row r="800" spans="1:7">
      <c r="A800" s="100">
        <v>7</v>
      </c>
      <c r="B800" s="100">
        <v>1</v>
      </c>
      <c r="C800" s="100">
        <v>2</v>
      </c>
      <c r="D800" s="100">
        <v>3</v>
      </c>
      <c r="E800" s="100" t="str">
        <f t="shared" si="36"/>
        <v>123</v>
      </c>
      <c r="F800" s="100">
        <v>2</v>
      </c>
      <c r="G800" s="100" t="s">
        <v>433</v>
      </c>
    </row>
    <row r="801" spans="1:7">
      <c r="A801" s="100">
        <v>8</v>
      </c>
      <c r="B801" s="100">
        <v>1</v>
      </c>
      <c r="C801" s="100">
        <v>2</v>
      </c>
      <c r="D801" s="100">
        <v>4</v>
      </c>
      <c r="E801" s="100" t="str">
        <f t="shared" si="36"/>
        <v>124</v>
      </c>
      <c r="F801" s="100">
        <v>3</v>
      </c>
      <c r="G801" s="100" t="s">
        <v>433</v>
      </c>
    </row>
    <row r="802" spans="1:7">
      <c r="A802" s="100">
        <v>9</v>
      </c>
      <c r="B802" s="100">
        <v>1</v>
      </c>
      <c r="C802" s="100">
        <v>3</v>
      </c>
      <c r="D802" s="100">
        <v>1</v>
      </c>
      <c r="E802" s="100" t="str">
        <f t="shared" si="36"/>
        <v>131</v>
      </c>
      <c r="F802" s="100">
        <v>2</v>
      </c>
      <c r="G802" s="100" t="s">
        <v>433</v>
      </c>
    </row>
    <row r="803" spans="1:7">
      <c r="A803" s="100">
        <v>10</v>
      </c>
      <c r="B803" s="100">
        <v>1</v>
      </c>
      <c r="C803" s="100">
        <v>3</v>
      </c>
      <c r="D803" s="100">
        <v>2</v>
      </c>
      <c r="E803" s="100" t="str">
        <f t="shared" si="36"/>
        <v>132</v>
      </c>
      <c r="F803" s="100">
        <v>2</v>
      </c>
      <c r="G803" s="100" t="s">
        <v>433</v>
      </c>
    </row>
    <row r="804" spans="1:7">
      <c r="A804" s="100">
        <v>11</v>
      </c>
      <c r="B804" s="100">
        <v>1</v>
      </c>
      <c r="C804" s="100">
        <v>3</v>
      </c>
      <c r="D804" s="100">
        <v>3</v>
      </c>
      <c r="E804" s="100" t="str">
        <f t="shared" si="36"/>
        <v>133</v>
      </c>
      <c r="F804" s="100">
        <v>3</v>
      </c>
      <c r="G804" s="100" t="s">
        <v>433</v>
      </c>
    </row>
    <row r="805" spans="1:7">
      <c r="A805" s="100">
        <v>12</v>
      </c>
      <c r="B805" s="100">
        <v>1</v>
      </c>
      <c r="C805" s="100">
        <v>3</v>
      </c>
      <c r="D805" s="100">
        <v>4</v>
      </c>
      <c r="E805" s="100" t="str">
        <f t="shared" si="36"/>
        <v>134</v>
      </c>
      <c r="F805" s="100">
        <v>3</v>
      </c>
      <c r="G805" s="100" t="s">
        <v>433</v>
      </c>
    </row>
    <row r="806" spans="1:7">
      <c r="A806" s="100">
        <v>13</v>
      </c>
      <c r="B806" s="100">
        <v>1</v>
      </c>
      <c r="C806" s="100">
        <v>4</v>
      </c>
      <c r="D806" s="100">
        <v>1</v>
      </c>
      <c r="E806" s="100" t="str">
        <f t="shared" si="36"/>
        <v>141</v>
      </c>
      <c r="F806" s="100">
        <v>2</v>
      </c>
      <c r="G806" s="100" t="s">
        <v>433</v>
      </c>
    </row>
    <row r="807" spans="1:7">
      <c r="A807" s="100">
        <v>14</v>
      </c>
      <c r="B807" s="100">
        <v>1</v>
      </c>
      <c r="C807" s="100">
        <v>4</v>
      </c>
      <c r="D807" s="100">
        <v>2</v>
      </c>
      <c r="E807" s="100" t="str">
        <f t="shared" si="36"/>
        <v>142</v>
      </c>
      <c r="F807" s="100">
        <v>3</v>
      </c>
      <c r="G807" s="100" t="s">
        <v>433</v>
      </c>
    </row>
    <row r="808" spans="1:7">
      <c r="A808" s="100">
        <v>15</v>
      </c>
      <c r="B808" s="100">
        <v>1</v>
      </c>
      <c r="C808" s="100">
        <v>4</v>
      </c>
      <c r="D808" s="100">
        <v>3</v>
      </c>
      <c r="E808" s="100" t="str">
        <f t="shared" si="36"/>
        <v>143</v>
      </c>
      <c r="F808" s="100">
        <v>3</v>
      </c>
      <c r="G808" s="100" t="s">
        <v>433</v>
      </c>
    </row>
    <row r="809" spans="1:7">
      <c r="A809" s="100">
        <v>16</v>
      </c>
      <c r="B809" s="100">
        <v>1</v>
      </c>
      <c r="C809" s="100">
        <v>4</v>
      </c>
      <c r="D809" s="100">
        <v>4</v>
      </c>
      <c r="E809" s="100" t="str">
        <f t="shared" si="36"/>
        <v>144</v>
      </c>
      <c r="F809" s="100">
        <v>4</v>
      </c>
      <c r="G809" s="100" t="s">
        <v>433</v>
      </c>
    </row>
    <row r="810" spans="1:7">
      <c r="A810" s="100">
        <v>17</v>
      </c>
      <c r="B810" s="100">
        <v>2</v>
      </c>
      <c r="C810" s="100">
        <v>1</v>
      </c>
      <c r="D810" s="100">
        <v>1</v>
      </c>
      <c r="E810" s="100" t="str">
        <f t="shared" si="36"/>
        <v>211</v>
      </c>
      <c r="F810" s="100">
        <v>1</v>
      </c>
      <c r="G810" s="100" t="s">
        <v>433</v>
      </c>
    </row>
    <row r="811" spans="1:7">
      <c r="A811" s="100">
        <v>18</v>
      </c>
      <c r="B811" s="100">
        <v>2</v>
      </c>
      <c r="C811" s="100">
        <v>1</v>
      </c>
      <c r="D811" s="100">
        <v>2</v>
      </c>
      <c r="E811" s="100" t="str">
        <f t="shared" si="36"/>
        <v>212</v>
      </c>
      <c r="F811" s="100">
        <v>2</v>
      </c>
      <c r="G811" s="100" t="s">
        <v>433</v>
      </c>
    </row>
    <row r="812" spans="1:7">
      <c r="A812" s="100">
        <v>19</v>
      </c>
      <c r="B812" s="100">
        <v>2</v>
      </c>
      <c r="C812" s="100">
        <v>1</v>
      </c>
      <c r="D812" s="100">
        <v>3</v>
      </c>
      <c r="E812" s="100" t="str">
        <f t="shared" si="36"/>
        <v>213</v>
      </c>
      <c r="F812" s="100">
        <v>2</v>
      </c>
      <c r="G812" s="100" t="s">
        <v>433</v>
      </c>
    </row>
    <row r="813" spans="1:7">
      <c r="A813" s="100">
        <v>20</v>
      </c>
      <c r="B813" s="100">
        <v>2</v>
      </c>
      <c r="C813" s="100">
        <v>1</v>
      </c>
      <c r="D813" s="100">
        <v>4</v>
      </c>
      <c r="E813" s="100" t="str">
        <f t="shared" si="36"/>
        <v>214</v>
      </c>
      <c r="F813" s="100">
        <v>3</v>
      </c>
      <c r="G813" s="100" t="s">
        <v>433</v>
      </c>
    </row>
    <row r="814" spans="1:7">
      <c r="A814" s="100">
        <v>21</v>
      </c>
      <c r="B814" s="100">
        <v>2</v>
      </c>
      <c r="C814" s="100">
        <v>2</v>
      </c>
      <c r="D814" s="100">
        <v>1</v>
      </c>
      <c r="E814" s="100" t="str">
        <f t="shared" si="36"/>
        <v>221</v>
      </c>
      <c r="F814" s="100">
        <v>2</v>
      </c>
      <c r="G814" s="100" t="s">
        <v>433</v>
      </c>
    </row>
    <row r="815" spans="1:7">
      <c r="A815" s="100">
        <v>22</v>
      </c>
      <c r="B815" s="100">
        <v>2</v>
      </c>
      <c r="C815" s="100">
        <v>2</v>
      </c>
      <c r="D815" s="100">
        <v>2</v>
      </c>
      <c r="E815" s="100" t="str">
        <f t="shared" si="36"/>
        <v>222</v>
      </c>
      <c r="F815" s="100">
        <v>2</v>
      </c>
      <c r="G815" s="100" t="s">
        <v>433</v>
      </c>
    </row>
    <row r="816" spans="1:7">
      <c r="A816" s="100">
        <v>23</v>
      </c>
      <c r="B816" s="100">
        <v>2</v>
      </c>
      <c r="C816" s="100">
        <v>2</v>
      </c>
      <c r="D816" s="100">
        <v>3</v>
      </c>
      <c r="E816" s="100" t="str">
        <f t="shared" si="36"/>
        <v>223</v>
      </c>
      <c r="F816" s="100">
        <v>3</v>
      </c>
      <c r="G816" s="100" t="s">
        <v>433</v>
      </c>
    </row>
    <row r="817" spans="1:7">
      <c r="A817" s="100">
        <v>24</v>
      </c>
      <c r="B817" s="100">
        <v>2</v>
      </c>
      <c r="C817" s="100">
        <v>2</v>
      </c>
      <c r="D817" s="100">
        <v>4</v>
      </c>
      <c r="E817" s="100" t="str">
        <f t="shared" si="36"/>
        <v>224</v>
      </c>
      <c r="F817" s="100">
        <v>3</v>
      </c>
      <c r="G817" s="100" t="s">
        <v>433</v>
      </c>
    </row>
    <row r="818" spans="1:7">
      <c r="A818" s="100">
        <v>25</v>
      </c>
      <c r="B818" s="100">
        <v>2</v>
      </c>
      <c r="C818" s="100">
        <v>3</v>
      </c>
      <c r="D818" s="100">
        <v>1</v>
      </c>
      <c r="E818" s="100" t="str">
        <f t="shared" si="36"/>
        <v>231</v>
      </c>
      <c r="F818" s="100">
        <v>2</v>
      </c>
      <c r="G818" s="100" t="s">
        <v>433</v>
      </c>
    </row>
    <row r="819" spans="1:7">
      <c r="A819" s="100">
        <v>26</v>
      </c>
      <c r="B819" s="100">
        <v>2</v>
      </c>
      <c r="C819" s="100">
        <v>3</v>
      </c>
      <c r="D819" s="100">
        <v>2</v>
      </c>
      <c r="E819" s="100" t="str">
        <f t="shared" si="36"/>
        <v>232</v>
      </c>
      <c r="F819" s="100">
        <v>3</v>
      </c>
      <c r="G819" s="100" t="s">
        <v>433</v>
      </c>
    </row>
    <row r="820" spans="1:7">
      <c r="A820" s="100">
        <v>27</v>
      </c>
      <c r="B820" s="100">
        <v>2</v>
      </c>
      <c r="C820" s="100">
        <v>3</v>
      </c>
      <c r="D820" s="100">
        <v>3</v>
      </c>
      <c r="E820" s="100" t="str">
        <f t="shared" si="36"/>
        <v>233</v>
      </c>
      <c r="F820" s="100">
        <v>3</v>
      </c>
      <c r="G820" s="100" t="s">
        <v>433</v>
      </c>
    </row>
    <row r="821" spans="1:7">
      <c r="A821" s="100">
        <v>28</v>
      </c>
      <c r="B821" s="100">
        <v>2</v>
      </c>
      <c r="C821" s="100">
        <v>3</v>
      </c>
      <c r="D821" s="100">
        <v>4</v>
      </c>
      <c r="E821" s="100" t="str">
        <f t="shared" si="36"/>
        <v>234</v>
      </c>
      <c r="F821" s="100">
        <v>4</v>
      </c>
      <c r="G821" s="100" t="s">
        <v>433</v>
      </c>
    </row>
    <row r="822" spans="1:7">
      <c r="A822" s="100">
        <v>29</v>
      </c>
      <c r="B822" s="100">
        <v>2</v>
      </c>
      <c r="C822" s="100">
        <v>4</v>
      </c>
      <c r="D822" s="100">
        <v>1</v>
      </c>
      <c r="E822" s="100" t="str">
        <f t="shared" si="36"/>
        <v>241</v>
      </c>
      <c r="F822" s="100">
        <v>3</v>
      </c>
      <c r="G822" s="100" t="s">
        <v>433</v>
      </c>
    </row>
    <row r="823" spans="1:7">
      <c r="A823" s="100">
        <v>30</v>
      </c>
      <c r="B823" s="100">
        <v>2</v>
      </c>
      <c r="C823" s="100">
        <v>4</v>
      </c>
      <c r="D823" s="100">
        <v>2</v>
      </c>
      <c r="E823" s="100" t="str">
        <f t="shared" si="36"/>
        <v>242</v>
      </c>
      <c r="F823" s="100">
        <v>3</v>
      </c>
      <c r="G823" s="100" t="s">
        <v>433</v>
      </c>
    </row>
    <row r="824" spans="1:7">
      <c r="A824" s="100">
        <v>31</v>
      </c>
      <c r="B824" s="100">
        <v>2</v>
      </c>
      <c r="C824" s="100">
        <v>4</v>
      </c>
      <c r="D824" s="100">
        <v>3</v>
      </c>
      <c r="E824" s="100" t="str">
        <f t="shared" si="36"/>
        <v>243</v>
      </c>
      <c r="F824" s="100">
        <v>4</v>
      </c>
      <c r="G824" s="100" t="s">
        <v>433</v>
      </c>
    </row>
    <row r="825" spans="1:7">
      <c r="A825" s="100">
        <v>32</v>
      </c>
      <c r="B825" s="100">
        <v>2</v>
      </c>
      <c r="C825" s="100">
        <v>4</v>
      </c>
      <c r="D825" s="100">
        <v>4</v>
      </c>
      <c r="E825" s="100" t="str">
        <f t="shared" si="36"/>
        <v>244</v>
      </c>
      <c r="F825" s="100">
        <v>4</v>
      </c>
      <c r="G825" s="100" t="s">
        <v>433</v>
      </c>
    </row>
    <row r="826" spans="1:7">
      <c r="A826" s="100">
        <v>33</v>
      </c>
      <c r="B826" s="100">
        <v>3</v>
      </c>
      <c r="C826" s="100">
        <v>1</v>
      </c>
      <c r="D826" s="100">
        <v>1</v>
      </c>
      <c r="E826" s="100" t="str">
        <f t="shared" si="36"/>
        <v>311</v>
      </c>
      <c r="F826" s="100">
        <v>2</v>
      </c>
      <c r="G826" s="100" t="s">
        <v>433</v>
      </c>
    </row>
    <row r="827" spans="1:7">
      <c r="A827" s="100">
        <v>34</v>
      </c>
      <c r="B827" s="100">
        <v>3</v>
      </c>
      <c r="C827" s="100">
        <v>1</v>
      </c>
      <c r="D827" s="100">
        <v>2</v>
      </c>
      <c r="E827" s="100" t="str">
        <f t="shared" si="36"/>
        <v>312</v>
      </c>
      <c r="F827" s="100">
        <v>2</v>
      </c>
      <c r="G827" s="100" t="s">
        <v>433</v>
      </c>
    </row>
    <row r="828" spans="1:7">
      <c r="A828" s="100">
        <v>35</v>
      </c>
      <c r="B828" s="100">
        <v>3</v>
      </c>
      <c r="C828" s="100">
        <v>1</v>
      </c>
      <c r="D828" s="100">
        <v>3</v>
      </c>
      <c r="E828" s="100" t="str">
        <f t="shared" si="36"/>
        <v>313</v>
      </c>
      <c r="F828" s="100">
        <v>3</v>
      </c>
      <c r="G828" s="100" t="s">
        <v>433</v>
      </c>
    </row>
    <row r="829" spans="1:7">
      <c r="A829" s="100">
        <v>36</v>
      </c>
      <c r="B829" s="100">
        <v>3</v>
      </c>
      <c r="C829" s="100">
        <v>1</v>
      </c>
      <c r="D829" s="100">
        <v>4</v>
      </c>
      <c r="E829" s="100" t="str">
        <f t="shared" si="36"/>
        <v>314</v>
      </c>
      <c r="F829" s="100">
        <v>3</v>
      </c>
      <c r="G829" s="100" t="s">
        <v>433</v>
      </c>
    </row>
    <row r="830" spans="1:7">
      <c r="A830" s="100">
        <v>37</v>
      </c>
      <c r="B830" s="100">
        <v>3</v>
      </c>
      <c r="C830" s="100">
        <v>2</v>
      </c>
      <c r="D830" s="100">
        <v>1</v>
      </c>
      <c r="E830" s="100" t="str">
        <f t="shared" si="36"/>
        <v>321</v>
      </c>
      <c r="F830" s="100">
        <v>2</v>
      </c>
      <c r="G830" s="100" t="s">
        <v>433</v>
      </c>
    </row>
    <row r="831" spans="1:7">
      <c r="A831" s="100">
        <v>38</v>
      </c>
      <c r="B831" s="100">
        <v>3</v>
      </c>
      <c r="C831" s="100">
        <v>2</v>
      </c>
      <c r="D831" s="100">
        <v>2</v>
      </c>
      <c r="E831" s="100" t="str">
        <f t="shared" si="36"/>
        <v>322</v>
      </c>
      <c r="F831" s="100">
        <v>3</v>
      </c>
      <c r="G831" s="100" t="s">
        <v>433</v>
      </c>
    </row>
    <row r="832" spans="1:7">
      <c r="A832" s="100">
        <v>39</v>
      </c>
      <c r="B832" s="100">
        <v>3</v>
      </c>
      <c r="C832" s="100">
        <v>2</v>
      </c>
      <c r="D832" s="100">
        <v>3</v>
      </c>
      <c r="E832" s="100" t="str">
        <f t="shared" si="36"/>
        <v>323</v>
      </c>
      <c r="F832" s="100">
        <v>3</v>
      </c>
      <c r="G832" s="100" t="s">
        <v>433</v>
      </c>
    </row>
    <row r="833" spans="1:7">
      <c r="A833" s="100">
        <v>40</v>
      </c>
      <c r="B833" s="100">
        <v>3</v>
      </c>
      <c r="C833" s="100">
        <v>2</v>
      </c>
      <c r="D833" s="100">
        <v>4</v>
      </c>
      <c r="E833" s="100" t="str">
        <f t="shared" si="36"/>
        <v>324</v>
      </c>
      <c r="F833" s="100">
        <v>4</v>
      </c>
      <c r="G833" s="100" t="s">
        <v>433</v>
      </c>
    </row>
    <row r="834" spans="1:7">
      <c r="A834" s="100">
        <v>41</v>
      </c>
      <c r="B834" s="100">
        <v>3</v>
      </c>
      <c r="C834" s="100">
        <v>3</v>
      </c>
      <c r="D834" s="100">
        <v>1</v>
      </c>
      <c r="E834" s="100" t="str">
        <f t="shared" si="36"/>
        <v>331</v>
      </c>
      <c r="F834" s="100">
        <v>3</v>
      </c>
      <c r="G834" s="100" t="s">
        <v>433</v>
      </c>
    </row>
    <row r="835" spans="1:7">
      <c r="A835" s="100">
        <v>42</v>
      </c>
      <c r="B835" s="100">
        <v>3</v>
      </c>
      <c r="C835" s="100">
        <v>3</v>
      </c>
      <c r="D835" s="100">
        <v>2</v>
      </c>
      <c r="E835" s="100" t="str">
        <f t="shared" si="36"/>
        <v>332</v>
      </c>
      <c r="F835" s="100">
        <v>3</v>
      </c>
      <c r="G835" s="100" t="s">
        <v>433</v>
      </c>
    </row>
    <row r="836" spans="1:7">
      <c r="A836" s="100">
        <v>43</v>
      </c>
      <c r="B836" s="100">
        <v>3</v>
      </c>
      <c r="C836" s="100">
        <v>3</v>
      </c>
      <c r="D836" s="100">
        <v>3</v>
      </c>
      <c r="E836" s="100" t="str">
        <f t="shared" si="36"/>
        <v>333</v>
      </c>
      <c r="F836" s="100">
        <v>4</v>
      </c>
      <c r="G836" s="100" t="s">
        <v>433</v>
      </c>
    </row>
    <row r="837" spans="1:7">
      <c r="A837" s="100">
        <v>44</v>
      </c>
      <c r="B837" s="100">
        <v>3</v>
      </c>
      <c r="C837" s="100">
        <v>3</v>
      </c>
      <c r="D837" s="100">
        <v>4</v>
      </c>
      <c r="E837" s="100" t="str">
        <f t="shared" si="36"/>
        <v>334</v>
      </c>
      <c r="F837" s="100">
        <v>4</v>
      </c>
      <c r="G837" s="100" t="s">
        <v>433</v>
      </c>
    </row>
    <row r="838" spans="1:7">
      <c r="A838" s="100">
        <v>45</v>
      </c>
      <c r="B838" s="100">
        <v>3</v>
      </c>
      <c r="C838" s="100">
        <v>4</v>
      </c>
      <c r="D838" s="100">
        <v>1</v>
      </c>
      <c r="E838" s="100" t="str">
        <f t="shared" si="36"/>
        <v>341</v>
      </c>
      <c r="F838" s="100">
        <v>3</v>
      </c>
      <c r="G838" s="100" t="s">
        <v>433</v>
      </c>
    </row>
    <row r="839" spans="1:7">
      <c r="A839" s="100">
        <v>46</v>
      </c>
      <c r="B839" s="100">
        <v>3</v>
      </c>
      <c r="C839" s="100">
        <v>4</v>
      </c>
      <c r="D839" s="100">
        <v>2</v>
      </c>
      <c r="E839" s="100" t="str">
        <f t="shared" si="36"/>
        <v>342</v>
      </c>
      <c r="F839" s="100">
        <v>4</v>
      </c>
      <c r="G839" s="100" t="s">
        <v>433</v>
      </c>
    </row>
    <row r="840" spans="1:7">
      <c r="A840" s="100">
        <v>47</v>
      </c>
      <c r="B840" s="100">
        <v>3</v>
      </c>
      <c r="C840" s="100">
        <v>4</v>
      </c>
      <c r="D840" s="100">
        <v>3</v>
      </c>
      <c r="E840" s="100" t="str">
        <f t="shared" si="36"/>
        <v>343</v>
      </c>
      <c r="F840" s="100">
        <v>4</v>
      </c>
      <c r="G840" s="100" t="s">
        <v>433</v>
      </c>
    </row>
    <row r="841" spans="1:7">
      <c r="A841" s="100">
        <v>48</v>
      </c>
      <c r="B841" s="100">
        <v>3</v>
      </c>
      <c r="C841" s="100">
        <v>4</v>
      </c>
      <c r="D841" s="100">
        <v>4</v>
      </c>
      <c r="E841" s="100" t="str">
        <f t="shared" si="36"/>
        <v>344</v>
      </c>
      <c r="F841" s="100">
        <v>5</v>
      </c>
      <c r="G841" s="100" t="s">
        <v>432</v>
      </c>
    </row>
    <row r="842" spans="1:7">
      <c r="A842" s="100">
        <v>49</v>
      </c>
      <c r="B842" s="100">
        <v>4</v>
      </c>
      <c r="C842" s="100">
        <v>1</v>
      </c>
      <c r="D842" s="100">
        <v>1</v>
      </c>
      <c r="E842" s="100" t="str">
        <f t="shared" si="36"/>
        <v>411</v>
      </c>
      <c r="F842" s="100">
        <v>2</v>
      </c>
      <c r="G842" s="100" t="s">
        <v>433</v>
      </c>
    </row>
    <row r="843" spans="1:7">
      <c r="A843" s="100">
        <v>50</v>
      </c>
      <c r="B843" s="100">
        <v>4</v>
      </c>
      <c r="C843" s="100">
        <v>1</v>
      </c>
      <c r="D843" s="100">
        <v>2</v>
      </c>
      <c r="E843" s="100" t="str">
        <f t="shared" si="36"/>
        <v>412</v>
      </c>
      <c r="F843" s="100">
        <v>3</v>
      </c>
      <c r="G843" s="100" t="s">
        <v>433</v>
      </c>
    </row>
    <row r="844" spans="1:7">
      <c r="A844" s="100">
        <v>51</v>
      </c>
      <c r="B844" s="100">
        <v>4</v>
      </c>
      <c r="C844" s="100">
        <v>1</v>
      </c>
      <c r="D844" s="100">
        <v>3</v>
      </c>
      <c r="E844" s="100" t="str">
        <f t="shared" si="36"/>
        <v>413</v>
      </c>
      <c r="F844" s="100">
        <v>3</v>
      </c>
      <c r="G844" s="100" t="s">
        <v>433</v>
      </c>
    </row>
    <row r="845" spans="1:7">
      <c r="A845" s="100">
        <v>52</v>
      </c>
      <c r="B845" s="100">
        <v>4</v>
      </c>
      <c r="C845" s="100">
        <v>1</v>
      </c>
      <c r="D845" s="100">
        <v>4</v>
      </c>
      <c r="E845" s="100" t="str">
        <f t="shared" si="36"/>
        <v>414</v>
      </c>
      <c r="F845" s="100">
        <v>4</v>
      </c>
      <c r="G845" s="100" t="s">
        <v>433</v>
      </c>
    </row>
    <row r="846" spans="1:7">
      <c r="A846" s="100">
        <v>53</v>
      </c>
      <c r="B846" s="100">
        <v>4</v>
      </c>
      <c r="C846" s="100">
        <v>2</v>
      </c>
      <c r="D846" s="100">
        <v>1</v>
      </c>
      <c r="E846" s="100" t="str">
        <f t="shared" si="36"/>
        <v>421</v>
      </c>
      <c r="F846" s="100">
        <v>3</v>
      </c>
      <c r="G846" s="100" t="s">
        <v>433</v>
      </c>
    </row>
    <row r="847" spans="1:7">
      <c r="A847" s="100">
        <v>54</v>
      </c>
      <c r="B847" s="100">
        <v>4</v>
      </c>
      <c r="C847" s="100">
        <v>2</v>
      </c>
      <c r="D847" s="100">
        <v>2</v>
      </c>
      <c r="E847" s="100" t="str">
        <f t="shared" si="36"/>
        <v>422</v>
      </c>
      <c r="F847" s="100">
        <v>3</v>
      </c>
      <c r="G847" s="100" t="s">
        <v>433</v>
      </c>
    </row>
    <row r="848" spans="1:7">
      <c r="A848" s="100">
        <v>55</v>
      </c>
      <c r="B848" s="100">
        <v>4</v>
      </c>
      <c r="C848" s="100">
        <v>2</v>
      </c>
      <c r="D848" s="100">
        <v>3</v>
      </c>
      <c r="E848" s="100" t="str">
        <f t="shared" si="36"/>
        <v>423</v>
      </c>
      <c r="F848" s="100">
        <v>4</v>
      </c>
      <c r="G848" s="100" t="s">
        <v>433</v>
      </c>
    </row>
    <row r="849" spans="1:7">
      <c r="A849" s="100">
        <v>56</v>
      </c>
      <c r="B849" s="100">
        <v>4</v>
      </c>
      <c r="C849" s="100">
        <v>2</v>
      </c>
      <c r="D849" s="100">
        <v>4</v>
      </c>
      <c r="E849" s="100" t="str">
        <f t="shared" si="36"/>
        <v>424</v>
      </c>
      <c r="F849" s="100">
        <v>4</v>
      </c>
      <c r="G849" s="100" t="s">
        <v>433</v>
      </c>
    </row>
    <row r="850" spans="1:7">
      <c r="A850" s="100">
        <v>57</v>
      </c>
      <c r="B850" s="100">
        <v>4</v>
      </c>
      <c r="C850" s="100">
        <v>3</v>
      </c>
      <c r="D850" s="100">
        <v>1</v>
      </c>
      <c r="E850" s="100" t="str">
        <f t="shared" si="36"/>
        <v>431</v>
      </c>
      <c r="F850" s="100">
        <v>3</v>
      </c>
      <c r="G850" s="100" t="s">
        <v>433</v>
      </c>
    </row>
    <row r="851" spans="1:7">
      <c r="A851" s="100">
        <v>58</v>
      </c>
      <c r="B851" s="100">
        <v>4</v>
      </c>
      <c r="C851" s="100">
        <v>3</v>
      </c>
      <c r="D851" s="100">
        <v>2</v>
      </c>
      <c r="E851" s="100" t="str">
        <f t="shared" si="36"/>
        <v>432</v>
      </c>
      <c r="F851" s="100">
        <v>4</v>
      </c>
      <c r="G851" s="100" t="s">
        <v>433</v>
      </c>
    </row>
    <row r="852" spans="1:7">
      <c r="A852" s="100">
        <v>59</v>
      </c>
      <c r="B852" s="100">
        <v>4</v>
      </c>
      <c r="C852" s="100">
        <v>3</v>
      </c>
      <c r="D852" s="100">
        <v>3</v>
      </c>
      <c r="E852" s="100" t="str">
        <f t="shared" si="36"/>
        <v>433</v>
      </c>
      <c r="F852" s="100">
        <v>4</v>
      </c>
      <c r="G852" s="100" t="s">
        <v>433</v>
      </c>
    </row>
    <row r="853" spans="1:7">
      <c r="A853" s="100">
        <v>60</v>
      </c>
      <c r="B853" s="100">
        <v>4</v>
      </c>
      <c r="C853" s="100">
        <v>3</v>
      </c>
      <c r="D853" s="100">
        <v>4</v>
      </c>
      <c r="E853" s="100" t="str">
        <f t="shared" si="36"/>
        <v>434</v>
      </c>
      <c r="F853" s="100">
        <v>5</v>
      </c>
      <c r="G853" s="100" t="s">
        <v>433</v>
      </c>
    </row>
    <row r="854" spans="1:7">
      <c r="A854" s="100">
        <v>61</v>
      </c>
      <c r="B854" s="100">
        <v>4</v>
      </c>
      <c r="C854" s="100">
        <v>4</v>
      </c>
      <c r="D854" s="100">
        <v>1</v>
      </c>
      <c r="E854" s="100" t="str">
        <f t="shared" si="36"/>
        <v>441</v>
      </c>
      <c r="F854" s="100">
        <v>4</v>
      </c>
      <c r="G854" s="100" t="s">
        <v>433</v>
      </c>
    </row>
    <row r="855" spans="1:7">
      <c r="A855" s="100">
        <v>62</v>
      </c>
      <c r="B855" s="100">
        <v>4</v>
      </c>
      <c r="C855" s="100">
        <v>4</v>
      </c>
      <c r="D855" s="100">
        <v>2</v>
      </c>
      <c r="E855" s="100" t="str">
        <f t="shared" si="36"/>
        <v>442</v>
      </c>
      <c r="F855" s="100">
        <v>4</v>
      </c>
      <c r="G855" s="100" t="s">
        <v>433</v>
      </c>
    </row>
    <row r="856" spans="1:7">
      <c r="A856" s="100">
        <v>63</v>
      </c>
      <c r="B856" s="100">
        <v>4</v>
      </c>
      <c r="C856" s="100">
        <v>4</v>
      </c>
      <c r="D856" s="100">
        <v>3</v>
      </c>
      <c r="E856" s="100" t="str">
        <f t="shared" si="36"/>
        <v>443</v>
      </c>
      <c r="F856" s="100">
        <v>5</v>
      </c>
      <c r="G856" s="100" t="s">
        <v>433</v>
      </c>
    </row>
    <row r="857" spans="1:7">
      <c r="A857" s="100">
        <v>64</v>
      </c>
      <c r="B857" s="100">
        <v>4</v>
      </c>
      <c r="C857" s="100">
        <v>4</v>
      </c>
      <c r="D857" s="100">
        <v>4</v>
      </c>
      <c r="E857" s="100" t="str">
        <f t="shared" si="36"/>
        <v>444</v>
      </c>
      <c r="F857" s="100">
        <v>5</v>
      </c>
      <c r="G857" s="100" t="s">
        <v>432</v>
      </c>
    </row>
    <row r="859" spans="1:7">
      <c r="A859" s="100" t="s">
        <v>495</v>
      </c>
      <c r="B859" s="100" t="s">
        <v>34</v>
      </c>
      <c r="C859" s="100" t="s">
        <v>36</v>
      </c>
      <c r="D859" s="100" t="s">
        <v>496</v>
      </c>
      <c r="E859" s="99" t="s">
        <v>361</v>
      </c>
      <c r="F859" s="100" t="s">
        <v>497</v>
      </c>
    </row>
    <row r="860" spans="1:7">
      <c r="A860" s="100">
        <v>1</v>
      </c>
      <c r="B860" s="100">
        <v>1</v>
      </c>
      <c r="C860" s="100">
        <v>1</v>
      </c>
      <c r="D860" s="100">
        <v>1</v>
      </c>
      <c r="E860" s="100" t="str">
        <f>CONCATENATE(B860,C860,D860)</f>
        <v>111</v>
      </c>
      <c r="F860" s="100">
        <v>1</v>
      </c>
      <c r="G860" s="100" t="s">
        <v>432</v>
      </c>
    </row>
    <row r="861" spans="1:7">
      <c r="A861" s="100">
        <v>2</v>
      </c>
      <c r="B861" s="100">
        <v>1</v>
      </c>
      <c r="C861" s="100">
        <v>1</v>
      </c>
      <c r="D861" s="100">
        <v>2</v>
      </c>
      <c r="E861" s="100" t="str">
        <f t="shared" ref="E861:E886" si="37">CONCATENATE(B861,C861,D861)</f>
        <v>112</v>
      </c>
      <c r="F861" s="100">
        <v>1</v>
      </c>
      <c r="G861" s="100" t="s">
        <v>432</v>
      </c>
    </row>
    <row r="862" spans="1:7">
      <c r="A862" s="100">
        <v>3</v>
      </c>
      <c r="B862" s="100">
        <v>1</v>
      </c>
      <c r="C862" s="100">
        <v>1</v>
      </c>
      <c r="D862" s="100">
        <v>3</v>
      </c>
      <c r="E862" s="100" t="str">
        <f t="shared" si="37"/>
        <v>113</v>
      </c>
      <c r="F862" s="100">
        <v>1</v>
      </c>
      <c r="G862" s="100" t="s">
        <v>433</v>
      </c>
    </row>
    <row r="863" spans="1:7">
      <c r="A863" s="100">
        <v>4</v>
      </c>
      <c r="B863" s="100">
        <v>1</v>
      </c>
      <c r="C863" s="100">
        <v>2</v>
      </c>
      <c r="D863" s="100">
        <v>1</v>
      </c>
      <c r="E863" s="100" t="str">
        <f t="shared" si="37"/>
        <v>121</v>
      </c>
      <c r="F863" s="100">
        <v>2</v>
      </c>
      <c r="G863" s="100" t="s">
        <v>433</v>
      </c>
    </row>
    <row r="864" spans="1:7">
      <c r="A864" s="100">
        <v>5</v>
      </c>
      <c r="B864" s="100">
        <v>1</v>
      </c>
      <c r="C864" s="100">
        <v>2</v>
      </c>
      <c r="D864" s="100">
        <v>2</v>
      </c>
      <c r="E864" s="100" t="str">
        <f t="shared" si="37"/>
        <v>122</v>
      </c>
      <c r="F864" s="100">
        <v>2</v>
      </c>
      <c r="G864" s="100" t="s">
        <v>433</v>
      </c>
    </row>
    <row r="865" spans="1:7">
      <c r="A865" s="100">
        <v>6</v>
      </c>
      <c r="B865" s="100">
        <v>1</v>
      </c>
      <c r="C865" s="100">
        <v>2</v>
      </c>
      <c r="D865" s="100">
        <v>3</v>
      </c>
      <c r="E865" s="100" t="str">
        <f t="shared" si="37"/>
        <v>123</v>
      </c>
      <c r="F865" s="100">
        <v>2</v>
      </c>
      <c r="G865" s="100" t="s">
        <v>433</v>
      </c>
    </row>
    <row r="866" spans="1:7">
      <c r="A866" s="100">
        <v>7</v>
      </c>
      <c r="B866" s="100">
        <v>1</v>
      </c>
      <c r="C866" s="100">
        <v>3</v>
      </c>
      <c r="D866" s="100">
        <v>1</v>
      </c>
      <c r="E866" s="100" t="str">
        <f t="shared" si="37"/>
        <v>131</v>
      </c>
      <c r="F866" s="100">
        <v>3</v>
      </c>
      <c r="G866" s="100" t="s">
        <v>433</v>
      </c>
    </row>
    <row r="867" spans="1:7">
      <c r="A867" s="100">
        <v>8</v>
      </c>
      <c r="B867" s="100">
        <v>1</v>
      </c>
      <c r="C867" s="100">
        <v>3</v>
      </c>
      <c r="D867" s="100">
        <v>2</v>
      </c>
      <c r="E867" s="100" t="str">
        <f t="shared" si="37"/>
        <v>132</v>
      </c>
      <c r="F867" s="100">
        <v>3</v>
      </c>
      <c r="G867" s="100" t="s">
        <v>433</v>
      </c>
    </row>
    <row r="868" spans="1:7">
      <c r="A868" s="100">
        <v>9</v>
      </c>
      <c r="B868" s="100">
        <v>1</v>
      </c>
      <c r="C868" s="100">
        <v>3</v>
      </c>
      <c r="D868" s="100">
        <v>3</v>
      </c>
      <c r="E868" s="100" t="str">
        <f t="shared" si="37"/>
        <v>133</v>
      </c>
      <c r="F868" s="100">
        <v>3</v>
      </c>
      <c r="G868" s="100" t="s">
        <v>433</v>
      </c>
    </row>
    <row r="869" spans="1:7">
      <c r="A869" s="100">
        <v>10</v>
      </c>
      <c r="B869" s="100">
        <v>2</v>
      </c>
      <c r="C869" s="100">
        <v>1</v>
      </c>
      <c r="D869" s="100">
        <v>1</v>
      </c>
      <c r="E869" s="100" t="str">
        <f t="shared" si="37"/>
        <v>211</v>
      </c>
      <c r="F869" s="100">
        <v>2</v>
      </c>
      <c r="G869" s="100" t="s">
        <v>433</v>
      </c>
    </row>
    <row r="870" spans="1:7">
      <c r="A870" s="100">
        <v>11</v>
      </c>
      <c r="B870" s="100">
        <v>2</v>
      </c>
      <c r="C870" s="100">
        <v>1</v>
      </c>
      <c r="D870" s="100">
        <v>2</v>
      </c>
      <c r="E870" s="100" t="str">
        <f t="shared" si="37"/>
        <v>212</v>
      </c>
      <c r="F870" s="100">
        <v>2</v>
      </c>
      <c r="G870" s="100" t="s">
        <v>433</v>
      </c>
    </row>
    <row r="871" spans="1:7">
      <c r="A871" s="100">
        <v>12</v>
      </c>
      <c r="B871" s="100">
        <v>2</v>
      </c>
      <c r="C871" s="100">
        <v>1</v>
      </c>
      <c r="D871" s="100">
        <v>3</v>
      </c>
      <c r="E871" s="100" t="str">
        <f t="shared" si="37"/>
        <v>213</v>
      </c>
      <c r="F871" s="100">
        <v>2</v>
      </c>
      <c r="G871" s="100" t="s">
        <v>433</v>
      </c>
    </row>
    <row r="872" spans="1:7">
      <c r="A872" s="100">
        <v>13</v>
      </c>
      <c r="B872" s="100">
        <v>2</v>
      </c>
      <c r="C872" s="100">
        <v>2</v>
      </c>
      <c r="D872" s="100">
        <v>1</v>
      </c>
      <c r="E872" s="100" t="str">
        <f t="shared" si="37"/>
        <v>221</v>
      </c>
      <c r="F872" s="100">
        <v>3</v>
      </c>
      <c r="G872" s="100" t="s">
        <v>433</v>
      </c>
    </row>
    <row r="873" spans="1:7">
      <c r="A873" s="100">
        <v>14</v>
      </c>
      <c r="B873" s="100">
        <v>2</v>
      </c>
      <c r="C873" s="100">
        <v>2</v>
      </c>
      <c r="D873" s="100">
        <v>2</v>
      </c>
      <c r="E873" s="100" t="str">
        <f t="shared" si="37"/>
        <v>222</v>
      </c>
      <c r="F873" s="100">
        <v>3</v>
      </c>
      <c r="G873" s="100" t="s">
        <v>433</v>
      </c>
    </row>
    <row r="874" spans="1:7">
      <c r="A874" s="100">
        <v>15</v>
      </c>
      <c r="B874" s="100">
        <v>2</v>
      </c>
      <c r="C874" s="100">
        <v>2</v>
      </c>
      <c r="D874" s="100">
        <v>3</v>
      </c>
      <c r="E874" s="100" t="str">
        <f t="shared" si="37"/>
        <v>223</v>
      </c>
      <c r="F874" s="100">
        <v>3</v>
      </c>
      <c r="G874" s="100" t="s">
        <v>433</v>
      </c>
    </row>
    <row r="875" spans="1:7">
      <c r="A875" s="100">
        <v>16</v>
      </c>
      <c r="B875" s="100">
        <v>2</v>
      </c>
      <c r="C875" s="100">
        <v>3</v>
      </c>
      <c r="D875" s="100">
        <v>1</v>
      </c>
      <c r="E875" s="100" t="str">
        <f t="shared" si="37"/>
        <v>231</v>
      </c>
      <c r="F875" s="100">
        <v>4</v>
      </c>
      <c r="G875" s="100" t="s">
        <v>433</v>
      </c>
    </row>
    <row r="876" spans="1:7">
      <c r="A876" s="100">
        <v>17</v>
      </c>
      <c r="B876" s="100">
        <v>2</v>
      </c>
      <c r="C876" s="100">
        <v>3</v>
      </c>
      <c r="D876" s="100">
        <v>2</v>
      </c>
      <c r="E876" s="100" t="str">
        <f t="shared" si="37"/>
        <v>232</v>
      </c>
      <c r="F876" s="100">
        <v>4</v>
      </c>
      <c r="G876" s="100" t="s">
        <v>433</v>
      </c>
    </row>
    <row r="877" spans="1:7">
      <c r="A877" s="100">
        <v>18</v>
      </c>
      <c r="B877" s="100">
        <v>2</v>
      </c>
      <c r="C877" s="100">
        <v>3</v>
      </c>
      <c r="D877" s="100">
        <v>3</v>
      </c>
      <c r="E877" s="100" t="str">
        <f t="shared" si="37"/>
        <v>233</v>
      </c>
      <c r="F877" s="100">
        <v>4</v>
      </c>
      <c r="G877" s="100" t="s">
        <v>433</v>
      </c>
    </row>
    <row r="878" spans="1:7">
      <c r="A878" s="100">
        <v>19</v>
      </c>
      <c r="B878" s="100">
        <v>3</v>
      </c>
      <c r="C878" s="100">
        <v>1</v>
      </c>
      <c r="D878" s="100">
        <v>1</v>
      </c>
      <c r="E878" s="100" t="str">
        <f t="shared" si="37"/>
        <v>311</v>
      </c>
      <c r="F878" s="100">
        <v>3</v>
      </c>
      <c r="G878" s="100" t="s">
        <v>433</v>
      </c>
    </row>
    <row r="879" spans="1:7">
      <c r="A879" s="100">
        <v>20</v>
      </c>
      <c r="B879" s="100">
        <v>3</v>
      </c>
      <c r="C879" s="100">
        <v>1</v>
      </c>
      <c r="D879" s="100">
        <v>2</v>
      </c>
      <c r="E879" s="100" t="str">
        <f t="shared" si="37"/>
        <v>312</v>
      </c>
      <c r="F879" s="100">
        <v>3</v>
      </c>
      <c r="G879" s="100" t="s">
        <v>433</v>
      </c>
    </row>
    <row r="880" spans="1:7">
      <c r="A880" s="100">
        <v>21</v>
      </c>
      <c r="B880" s="100">
        <v>3</v>
      </c>
      <c r="C880" s="100">
        <v>1</v>
      </c>
      <c r="D880" s="100">
        <v>3</v>
      </c>
      <c r="E880" s="100" t="str">
        <f t="shared" si="37"/>
        <v>313</v>
      </c>
      <c r="F880" s="100">
        <v>3</v>
      </c>
      <c r="G880" s="100" t="s">
        <v>433</v>
      </c>
    </row>
    <row r="881" spans="1:7">
      <c r="A881" s="100">
        <v>22</v>
      </c>
      <c r="B881" s="100">
        <v>3</v>
      </c>
      <c r="C881" s="100">
        <v>2</v>
      </c>
      <c r="D881" s="100">
        <v>1</v>
      </c>
      <c r="E881" s="100" t="str">
        <f t="shared" si="37"/>
        <v>321</v>
      </c>
      <c r="F881" s="100">
        <v>4</v>
      </c>
      <c r="G881" s="100" t="s">
        <v>433</v>
      </c>
    </row>
    <row r="882" spans="1:7">
      <c r="A882" s="100">
        <v>23</v>
      </c>
      <c r="B882" s="100">
        <v>3</v>
      </c>
      <c r="C882" s="100">
        <v>2</v>
      </c>
      <c r="D882" s="100">
        <v>2</v>
      </c>
      <c r="E882" s="100" t="str">
        <f t="shared" si="37"/>
        <v>322</v>
      </c>
      <c r="F882" s="100">
        <v>4</v>
      </c>
      <c r="G882" s="100" t="s">
        <v>433</v>
      </c>
    </row>
    <row r="883" spans="1:7">
      <c r="A883" s="100">
        <v>24</v>
      </c>
      <c r="B883" s="100">
        <v>3</v>
      </c>
      <c r="C883" s="100">
        <v>2</v>
      </c>
      <c r="D883" s="100">
        <v>3</v>
      </c>
      <c r="E883" s="100" t="str">
        <f t="shared" si="37"/>
        <v>323</v>
      </c>
      <c r="F883" s="100">
        <v>4</v>
      </c>
      <c r="G883" s="100" t="s">
        <v>433</v>
      </c>
    </row>
    <row r="884" spans="1:7">
      <c r="A884" s="100">
        <v>25</v>
      </c>
      <c r="B884" s="100">
        <v>3</v>
      </c>
      <c r="C884" s="100">
        <v>3</v>
      </c>
      <c r="D884" s="100">
        <v>1</v>
      </c>
      <c r="E884" s="100" t="str">
        <f t="shared" si="37"/>
        <v>331</v>
      </c>
      <c r="F884" s="100">
        <v>5</v>
      </c>
      <c r="G884" s="100" t="s">
        <v>433</v>
      </c>
    </row>
    <row r="885" spans="1:7">
      <c r="A885" s="100">
        <v>26</v>
      </c>
      <c r="B885" s="100">
        <v>3</v>
      </c>
      <c r="C885" s="100">
        <v>3</v>
      </c>
      <c r="D885" s="100">
        <v>2</v>
      </c>
      <c r="E885" s="100" t="str">
        <f t="shared" si="37"/>
        <v>332</v>
      </c>
      <c r="F885" s="100">
        <v>5</v>
      </c>
      <c r="G885" s="100" t="s">
        <v>432</v>
      </c>
    </row>
    <row r="886" spans="1:7">
      <c r="A886" s="100">
        <v>27</v>
      </c>
      <c r="B886" s="100">
        <v>3</v>
      </c>
      <c r="C886" s="100">
        <v>3</v>
      </c>
      <c r="D886" s="100">
        <v>3</v>
      </c>
      <c r="E886" s="100" t="str">
        <f t="shared" si="37"/>
        <v>333</v>
      </c>
      <c r="F886" s="100">
        <v>5</v>
      </c>
      <c r="G886" s="100" t="s">
        <v>432</v>
      </c>
    </row>
    <row r="888" spans="1:7">
      <c r="A888" s="100" t="s">
        <v>499</v>
      </c>
      <c r="B888" s="100" t="s">
        <v>436</v>
      </c>
      <c r="C888" s="100" t="s">
        <v>26</v>
      </c>
      <c r="D888" s="99" t="s">
        <v>361</v>
      </c>
      <c r="E888" s="100" t="s">
        <v>498</v>
      </c>
    </row>
    <row r="889" spans="1:7">
      <c r="A889" s="100">
        <v>1</v>
      </c>
      <c r="B889" s="100">
        <v>1</v>
      </c>
      <c r="C889" s="100">
        <v>1</v>
      </c>
      <c r="D889" s="100" t="str">
        <f t="shared" ref="D889:D894" si="38">CONCATENATE(B889,C889)</f>
        <v>11</v>
      </c>
      <c r="E889" s="100">
        <v>1</v>
      </c>
      <c r="F889" s="100" t="s">
        <v>432</v>
      </c>
    </row>
    <row r="890" spans="1:7">
      <c r="A890" s="100">
        <v>2</v>
      </c>
      <c r="B890" s="100">
        <v>1</v>
      </c>
      <c r="C890" s="100">
        <v>2</v>
      </c>
      <c r="D890" s="100" t="str">
        <f t="shared" si="38"/>
        <v>12</v>
      </c>
      <c r="E890" s="100">
        <v>1</v>
      </c>
      <c r="F890" s="100" t="s">
        <v>432</v>
      </c>
    </row>
    <row r="891" spans="1:7">
      <c r="A891" s="100">
        <v>3</v>
      </c>
      <c r="B891" s="100">
        <v>2</v>
      </c>
      <c r="C891" s="100">
        <v>1</v>
      </c>
      <c r="D891" s="100" t="str">
        <f t="shared" si="38"/>
        <v>21</v>
      </c>
      <c r="E891" s="100">
        <v>2</v>
      </c>
      <c r="F891" s="100" t="s">
        <v>432</v>
      </c>
    </row>
    <row r="892" spans="1:7">
      <c r="A892" s="100">
        <v>4</v>
      </c>
      <c r="B892" s="100">
        <v>2</v>
      </c>
      <c r="C892" s="100">
        <v>2</v>
      </c>
      <c r="D892" s="100" t="str">
        <f t="shared" si="38"/>
        <v>22</v>
      </c>
      <c r="E892" s="100">
        <v>1</v>
      </c>
      <c r="F892" s="100" t="s">
        <v>432</v>
      </c>
    </row>
    <row r="893" spans="1:7">
      <c r="A893" s="100">
        <v>5</v>
      </c>
      <c r="B893" s="100">
        <v>3</v>
      </c>
      <c r="C893" s="100">
        <v>1</v>
      </c>
      <c r="D893" s="100" t="str">
        <f t="shared" si="38"/>
        <v>31</v>
      </c>
      <c r="E893" s="100">
        <v>3</v>
      </c>
      <c r="F893" s="100" t="s">
        <v>432</v>
      </c>
    </row>
    <row r="894" spans="1:7">
      <c r="A894" s="100">
        <v>6</v>
      </c>
      <c r="B894" s="100">
        <v>3</v>
      </c>
      <c r="C894" s="100">
        <v>2</v>
      </c>
      <c r="D894" s="100" t="str">
        <f t="shared" si="38"/>
        <v>32</v>
      </c>
      <c r="E894" s="100">
        <v>1</v>
      </c>
      <c r="F894" s="100" t="s">
        <v>432</v>
      </c>
    </row>
    <row r="896" spans="1:7">
      <c r="A896" s="100" t="s">
        <v>500</v>
      </c>
      <c r="B896" s="100" t="s">
        <v>17</v>
      </c>
      <c r="C896" s="100" t="s">
        <v>34</v>
      </c>
      <c r="D896" s="100" t="s">
        <v>498</v>
      </c>
      <c r="E896" s="99" t="s">
        <v>361</v>
      </c>
      <c r="F896" s="100" t="s">
        <v>501</v>
      </c>
    </row>
    <row r="897" spans="1:7">
      <c r="A897" s="100">
        <v>1</v>
      </c>
      <c r="B897" s="100">
        <v>1</v>
      </c>
      <c r="C897" s="100">
        <v>1</v>
      </c>
      <c r="D897" s="100">
        <v>1</v>
      </c>
      <c r="E897" s="100" t="str">
        <f>CONCATENATE(B897,C897,D897)</f>
        <v>111</v>
      </c>
      <c r="F897" s="100">
        <v>1</v>
      </c>
      <c r="G897" s="100" t="s">
        <v>432</v>
      </c>
    </row>
    <row r="898" spans="1:7">
      <c r="A898" s="100">
        <v>2</v>
      </c>
      <c r="B898" s="100">
        <v>1</v>
      </c>
      <c r="C898" s="100">
        <v>1</v>
      </c>
      <c r="D898" s="100">
        <v>2</v>
      </c>
      <c r="E898" s="100" t="str">
        <f t="shared" ref="E898:E941" si="39">CONCATENATE(B898,C898,D898)</f>
        <v>112</v>
      </c>
      <c r="F898" s="100">
        <v>1</v>
      </c>
      <c r="G898" s="100" t="s">
        <v>432</v>
      </c>
    </row>
    <row r="899" spans="1:7">
      <c r="A899" s="100">
        <v>3</v>
      </c>
      <c r="B899" s="100">
        <v>1</v>
      </c>
      <c r="C899" s="100">
        <v>1</v>
      </c>
      <c r="D899" s="100">
        <v>3</v>
      </c>
      <c r="E899" s="100" t="str">
        <f t="shared" si="39"/>
        <v>113</v>
      </c>
      <c r="F899" s="100">
        <v>2</v>
      </c>
      <c r="G899" s="100" t="s">
        <v>433</v>
      </c>
    </row>
    <row r="900" spans="1:7">
      <c r="A900" s="100">
        <v>4</v>
      </c>
      <c r="B900" s="100">
        <v>1</v>
      </c>
      <c r="C900" s="100">
        <v>2</v>
      </c>
      <c r="D900" s="100">
        <v>1</v>
      </c>
      <c r="E900" s="100" t="str">
        <f t="shared" si="39"/>
        <v>121</v>
      </c>
      <c r="F900" s="100">
        <v>1</v>
      </c>
      <c r="G900" s="100" t="s">
        <v>433</v>
      </c>
    </row>
    <row r="901" spans="1:7">
      <c r="A901" s="100">
        <v>5</v>
      </c>
      <c r="B901" s="100">
        <v>1</v>
      </c>
      <c r="C901" s="100">
        <v>2</v>
      </c>
      <c r="D901" s="100">
        <v>2</v>
      </c>
      <c r="E901" s="100" t="str">
        <f t="shared" si="39"/>
        <v>122</v>
      </c>
      <c r="F901" s="100">
        <v>2</v>
      </c>
      <c r="G901" s="100" t="s">
        <v>433</v>
      </c>
    </row>
    <row r="902" spans="1:7">
      <c r="A902" s="100">
        <v>6</v>
      </c>
      <c r="B902" s="100">
        <v>1</v>
      </c>
      <c r="C902" s="100">
        <v>2</v>
      </c>
      <c r="D902" s="100">
        <v>3</v>
      </c>
      <c r="E902" s="100" t="str">
        <f t="shared" si="39"/>
        <v>123</v>
      </c>
      <c r="F902" s="100">
        <v>2</v>
      </c>
      <c r="G902" s="100" t="s">
        <v>433</v>
      </c>
    </row>
    <row r="903" spans="1:7">
      <c r="A903" s="100">
        <v>7</v>
      </c>
      <c r="B903" s="100">
        <v>1</v>
      </c>
      <c r="C903" s="100">
        <v>3</v>
      </c>
      <c r="D903" s="100">
        <v>1</v>
      </c>
      <c r="E903" s="100" t="str">
        <f t="shared" si="39"/>
        <v>131</v>
      </c>
      <c r="F903" s="100">
        <v>2</v>
      </c>
      <c r="G903" s="100" t="s">
        <v>433</v>
      </c>
    </row>
    <row r="904" spans="1:7">
      <c r="A904" s="100">
        <v>8</v>
      </c>
      <c r="B904" s="100">
        <v>1</v>
      </c>
      <c r="C904" s="100">
        <v>3</v>
      </c>
      <c r="D904" s="100">
        <v>2</v>
      </c>
      <c r="E904" s="100" t="str">
        <f t="shared" si="39"/>
        <v>132</v>
      </c>
      <c r="F904" s="100">
        <v>2</v>
      </c>
      <c r="G904" s="100" t="s">
        <v>433</v>
      </c>
    </row>
    <row r="905" spans="1:7">
      <c r="A905" s="100">
        <v>9</v>
      </c>
      <c r="B905" s="100">
        <v>1</v>
      </c>
      <c r="C905" s="100">
        <v>3</v>
      </c>
      <c r="D905" s="100">
        <v>3</v>
      </c>
      <c r="E905" s="100" t="str">
        <f t="shared" si="39"/>
        <v>133</v>
      </c>
      <c r="F905" s="100">
        <v>3</v>
      </c>
      <c r="G905" s="100" t="s">
        <v>433</v>
      </c>
    </row>
    <row r="906" spans="1:7">
      <c r="A906" s="100">
        <v>10</v>
      </c>
      <c r="B906" s="100">
        <v>2</v>
      </c>
      <c r="C906" s="100">
        <v>1</v>
      </c>
      <c r="D906" s="100">
        <v>1</v>
      </c>
      <c r="E906" s="100" t="str">
        <f t="shared" si="39"/>
        <v>211</v>
      </c>
      <c r="F906" s="100">
        <v>1</v>
      </c>
      <c r="G906" s="100" t="s">
        <v>433</v>
      </c>
    </row>
    <row r="907" spans="1:7">
      <c r="A907" s="100">
        <v>11</v>
      </c>
      <c r="B907" s="100">
        <v>2</v>
      </c>
      <c r="C907" s="100">
        <v>1</v>
      </c>
      <c r="D907" s="100">
        <v>2</v>
      </c>
      <c r="E907" s="100" t="str">
        <f t="shared" si="39"/>
        <v>212</v>
      </c>
      <c r="F907" s="100">
        <v>2</v>
      </c>
      <c r="G907" s="100" t="s">
        <v>433</v>
      </c>
    </row>
    <row r="908" spans="1:7">
      <c r="A908" s="100">
        <v>12</v>
      </c>
      <c r="B908" s="100">
        <v>2</v>
      </c>
      <c r="C908" s="100">
        <v>1</v>
      </c>
      <c r="D908" s="100">
        <v>3</v>
      </c>
      <c r="E908" s="100" t="str">
        <f t="shared" si="39"/>
        <v>213</v>
      </c>
      <c r="F908" s="100">
        <v>2</v>
      </c>
      <c r="G908" s="100" t="s">
        <v>433</v>
      </c>
    </row>
    <row r="909" spans="1:7">
      <c r="A909" s="100">
        <v>13</v>
      </c>
      <c r="B909" s="100">
        <v>2</v>
      </c>
      <c r="C909" s="100">
        <v>2</v>
      </c>
      <c r="D909" s="100">
        <v>1</v>
      </c>
      <c r="E909" s="100" t="str">
        <f t="shared" si="39"/>
        <v>221</v>
      </c>
      <c r="F909" s="100">
        <v>2</v>
      </c>
      <c r="G909" s="100" t="s">
        <v>433</v>
      </c>
    </row>
    <row r="910" spans="1:7">
      <c r="A910" s="100">
        <v>14</v>
      </c>
      <c r="B910" s="100">
        <v>2</v>
      </c>
      <c r="C910" s="100">
        <v>2</v>
      </c>
      <c r="D910" s="100">
        <v>2</v>
      </c>
      <c r="E910" s="100" t="str">
        <f t="shared" si="39"/>
        <v>222</v>
      </c>
      <c r="F910" s="100">
        <v>2</v>
      </c>
      <c r="G910" s="100" t="s">
        <v>433</v>
      </c>
    </row>
    <row r="911" spans="1:7">
      <c r="A911" s="100">
        <v>15</v>
      </c>
      <c r="B911" s="100">
        <v>2</v>
      </c>
      <c r="C911" s="100">
        <v>2</v>
      </c>
      <c r="D911" s="100">
        <v>3</v>
      </c>
      <c r="E911" s="100" t="str">
        <f t="shared" si="39"/>
        <v>223</v>
      </c>
      <c r="F911" s="100">
        <v>3</v>
      </c>
      <c r="G911" s="100" t="s">
        <v>433</v>
      </c>
    </row>
    <row r="912" spans="1:7">
      <c r="A912" s="100">
        <v>16</v>
      </c>
      <c r="B912" s="100">
        <v>2</v>
      </c>
      <c r="C912" s="100">
        <v>3</v>
      </c>
      <c r="D912" s="100">
        <v>1</v>
      </c>
      <c r="E912" s="100" t="str">
        <f t="shared" si="39"/>
        <v>231</v>
      </c>
      <c r="F912" s="100">
        <v>2</v>
      </c>
      <c r="G912" s="100" t="s">
        <v>433</v>
      </c>
    </row>
    <row r="913" spans="1:7">
      <c r="A913" s="100">
        <v>17</v>
      </c>
      <c r="B913" s="100">
        <v>2</v>
      </c>
      <c r="C913" s="100">
        <v>3</v>
      </c>
      <c r="D913" s="100">
        <v>2</v>
      </c>
      <c r="E913" s="100" t="str">
        <f t="shared" si="39"/>
        <v>232</v>
      </c>
      <c r="F913" s="100">
        <v>3</v>
      </c>
      <c r="G913" s="100" t="s">
        <v>433</v>
      </c>
    </row>
    <row r="914" spans="1:7">
      <c r="A914" s="100">
        <v>18</v>
      </c>
      <c r="B914" s="100">
        <v>2</v>
      </c>
      <c r="C914" s="100">
        <v>3</v>
      </c>
      <c r="D914" s="100">
        <v>3</v>
      </c>
      <c r="E914" s="100" t="str">
        <f t="shared" si="39"/>
        <v>233</v>
      </c>
      <c r="F914" s="100">
        <v>4</v>
      </c>
      <c r="G914" s="100" t="s">
        <v>433</v>
      </c>
    </row>
    <row r="915" spans="1:7">
      <c r="A915" s="100">
        <v>19</v>
      </c>
      <c r="B915" s="100">
        <v>3</v>
      </c>
      <c r="C915" s="100">
        <v>1</v>
      </c>
      <c r="D915" s="100">
        <v>1</v>
      </c>
      <c r="E915" s="100" t="str">
        <f t="shared" si="39"/>
        <v>311</v>
      </c>
      <c r="F915" s="100">
        <v>2</v>
      </c>
      <c r="G915" s="100" t="s">
        <v>433</v>
      </c>
    </row>
    <row r="916" spans="1:7">
      <c r="A916" s="100">
        <v>20</v>
      </c>
      <c r="B916" s="100">
        <v>3</v>
      </c>
      <c r="C916" s="100">
        <v>1</v>
      </c>
      <c r="D916" s="100">
        <v>2</v>
      </c>
      <c r="E916" s="100" t="str">
        <f t="shared" si="39"/>
        <v>312</v>
      </c>
      <c r="F916" s="100">
        <v>2</v>
      </c>
      <c r="G916" s="100" t="s">
        <v>433</v>
      </c>
    </row>
    <row r="917" spans="1:7">
      <c r="A917" s="100">
        <v>21</v>
      </c>
      <c r="B917" s="100">
        <v>3</v>
      </c>
      <c r="C917" s="100">
        <v>1</v>
      </c>
      <c r="D917" s="100">
        <v>3</v>
      </c>
      <c r="E917" s="100" t="str">
        <f t="shared" si="39"/>
        <v>313</v>
      </c>
      <c r="F917" s="100">
        <v>3</v>
      </c>
      <c r="G917" s="100" t="s">
        <v>433</v>
      </c>
    </row>
    <row r="918" spans="1:7">
      <c r="A918" s="100">
        <v>22</v>
      </c>
      <c r="B918" s="100">
        <v>3</v>
      </c>
      <c r="C918" s="100">
        <v>2</v>
      </c>
      <c r="D918" s="100">
        <v>1</v>
      </c>
      <c r="E918" s="100" t="str">
        <f t="shared" si="39"/>
        <v>321</v>
      </c>
      <c r="F918" s="100">
        <v>2</v>
      </c>
      <c r="G918" s="100" t="s">
        <v>433</v>
      </c>
    </row>
    <row r="919" spans="1:7">
      <c r="A919" s="100">
        <v>23</v>
      </c>
      <c r="B919" s="100">
        <v>3</v>
      </c>
      <c r="C919" s="100">
        <v>2</v>
      </c>
      <c r="D919" s="100">
        <v>2</v>
      </c>
      <c r="E919" s="100" t="str">
        <f t="shared" si="39"/>
        <v>322</v>
      </c>
      <c r="F919" s="100">
        <v>3</v>
      </c>
      <c r="G919" s="100" t="s">
        <v>433</v>
      </c>
    </row>
    <row r="920" spans="1:7">
      <c r="A920" s="100">
        <v>24</v>
      </c>
      <c r="B920" s="100">
        <v>3</v>
      </c>
      <c r="C920" s="100">
        <v>2</v>
      </c>
      <c r="D920" s="100">
        <v>3</v>
      </c>
      <c r="E920" s="100" t="str">
        <f t="shared" si="39"/>
        <v>323</v>
      </c>
      <c r="F920" s="100">
        <v>4</v>
      </c>
      <c r="G920" s="100" t="s">
        <v>433</v>
      </c>
    </row>
    <row r="921" spans="1:7">
      <c r="A921" s="100">
        <v>25</v>
      </c>
      <c r="B921" s="100">
        <v>3</v>
      </c>
      <c r="C921" s="100">
        <v>3</v>
      </c>
      <c r="D921" s="100">
        <v>1</v>
      </c>
      <c r="E921" s="100" t="str">
        <f t="shared" si="39"/>
        <v>331</v>
      </c>
      <c r="F921" s="100">
        <v>3</v>
      </c>
      <c r="G921" s="100" t="s">
        <v>433</v>
      </c>
    </row>
    <row r="922" spans="1:7">
      <c r="A922" s="100">
        <v>26</v>
      </c>
      <c r="B922" s="100">
        <v>3</v>
      </c>
      <c r="C922" s="100">
        <v>3</v>
      </c>
      <c r="D922" s="100">
        <v>2</v>
      </c>
      <c r="E922" s="100" t="str">
        <f t="shared" si="39"/>
        <v>332</v>
      </c>
      <c r="F922" s="100">
        <v>4</v>
      </c>
      <c r="G922" s="100" t="s">
        <v>433</v>
      </c>
    </row>
    <row r="923" spans="1:7">
      <c r="A923" s="100">
        <v>27</v>
      </c>
      <c r="B923" s="100">
        <v>3</v>
      </c>
      <c r="C923" s="100">
        <v>3</v>
      </c>
      <c r="D923" s="100">
        <v>3</v>
      </c>
      <c r="E923" s="100" t="str">
        <f t="shared" si="39"/>
        <v>333</v>
      </c>
      <c r="F923" s="100">
        <v>4</v>
      </c>
      <c r="G923" s="100" t="s">
        <v>433</v>
      </c>
    </row>
    <row r="924" spans="1:7">
      <c r="A924" s="100">
        <v>28</v>
      </c>
      <c r="B924" s="100">
        <v>4</v>
      </c>
      <c r="C924" s="100">
        <v>1</v>
      </c>
      <c r="D924" s="100">
        <v>1</v>
      </c>
      <c r="E924" s="100" t="str">
        <f t="shared" si="39"/>
        <v>411</v>
      </c>
      <c r="F924" s="100">
        <v>2</v>
      </c>
      <c r="G924" s="100" t="s">
        <v>433</v>
      </c>
    </row>
    <row r="925" spans="1:7">
      <c r="A925" s="100">
        <v>29</v>
      </c>
      <c r="B925" s="100">
        <v>4</v>
      </c>
      <c r="C925" s="100">
        <v>1</v>
      </c>
      <c r="D925" s="100">
        <v>2</v>
      </c>
      <c r="E925" s="100" t="str">
        <f t="shared" si="39"/>
        <v>412</v>
      </c>
      <c r="F925" s="100">
        <v>3</v>
      </c>
      <c r="G925" s="100" t="s">
        <v>433</v>
      </c>
    </row>
    <row r="926" spans="1:7">
      <c r="A926" s="100">
        <v>30</v>
      </c>
      <c r="B926" s="100">
        <v>4</v>
      </c>
      <c r="C926" s="100">
        <v>1</v>
      </c>
      <c r="D926" s="100">
        <v>3</v>
      </c>
      <c r="E926" s="100" t="str">
        <f t="shared" si="39"/>
        <v>413</v>
      </c>
      <c r="F926" s="100">
        <v>4</v>
      </c>
      <c r="G926" s="100" t="s">
        <v>433</v>
      </c>
    </row>
    <row r="927" spans="1:7">
      <c r="A927" s="100">
        <v>31</v>
      </c>
      <c r="B927" s="100">
        <v>4</v>
      </c>
      <c r="C927" s="100">
        <v>2</v>
      </c>
      <c r="D927" s="100">
        <v>1</v>
      </c>
      <c r="E927" s="100" t="str">
        <f t="shared" si="39"/>
        <v>421</v>
      </c>
      <c r="F927" s="100">
        <v>3</v>
      </c>
      <c r="G927" s="100" t="s">
        <v>433</v>
      </c>
    </row>
    <row r="928" spans="1:7">
      <c r="A928" s="100">
        <v>32</v>
      </c>
      <c r="B928" s="100">
        <v>4</v>
      </c>
      <c r="C928" s="100">
        <v>2</v>
      </c>
      <c r="D928" s="100">
        <v>2</v>
      </c>
      <c r="E928" s="100" t="str">
        <f t="shared" si="39"/>
        <v>422</v>
      </c>
      <c r="F928" s="100">
        <v>4</v>
      </c>
      <c r="G928" s="100" t="s">
        <v>433</v>
      </c>
    </row>
    <row r="929" spans="1:7">
      <c r="A929" s="100">
        <v>33</v>
      </c>
      <c r="B929" s="100">
        <v>4</v>
      </c>
      <c r="C929" s="100">
        <v>2</v>
      </c>
      <c r="D929" s="100">
        <v>3</v>
      </c>
      <c r="E929" s="100" t="str">
        <f t="shared" si="39"/>
        <v>423</v>
      </c>
      <c r="F929" s="100">
        <v>4</v>
      </c>
      <c r="G929" s="100" t="s">
        <v>433</v>
      </c>
    </row>
    <row r="930" spans="1:7">
      <c r="A930" s="100">
        <v>34</v>
      </c>
      <c r="B930" s="100">
        <v>4</v>
      </c>
      <c r="C930" s="100">
        <v>3</v>
      </c>
      <c r="D930" s="100">
        <v>1</v>
      </c>
      <c r="E930" s="100" t="str">
        <f t="shared" si="39"/>
        <v>431</v>
      </c>
      <c r="F930" s="100">
        <v>4</v>
      </c>
      <c r="G930" s="100" t="s">
        <v>433</v>
      </c>
    </row>
    <row r="931" spans="1:7">
      <c r="A931" s="100">
        <v>35</v>
      </c>
      <c r="B931" s="100">
        <v>4</v>
      </c>
      <c r="C931" s="100">
        <v>3</v>
      </c>
      <c r="D931" s="100">
        <v>2</v>
      </c>
      <c r="E931" s="100" t="str">
        <f t="shared" si="39"/>
        <v>432</v>
      </c>
      <c r="F931" s="100">
        <v>4</v>
      </c>
      <c r="G931" s="100" t="s">
        <v>433</v>
      </c>
    </row>
    <row r="932" spans="1:7">
      <c r="A932" s="100">
        <v>36</v>
      </c>
      <c r="B932" s="100">
        <v>4</v>
      </c>
      <c r="C932" s="100">
        <v>3</v>
      </c>
      <c r="D932" s="100">
        <v>3</v>
      </c>
      <c r="E932" s="100" t="str">
        <f t="shared" si="39"/>
        <v>433</v>
      </c>
      <c r="F932" s="100">
        <v>5</v>
      </c>
      <c r="G932" s="100" t="s">
        <v>433</v>
      </c>
    </row>
    <row r="933" spans="1:7">
      <c r="A933" s="100">
        <v>37</v>
      </c>
      <c r="B933" s="100">
        <v>5</v>
      </c>
      <c r="C933" s="100">
        <v>1</v>
      </c>
      <c r="D933" s="100">
        <v>1</v>
      </c>
      <c r="E933" s="100" t="str">
        <f t="shared" si="39"/>
        <v>511</v>
      </c>
      <c r="F933" s="100">
        <v>3</v>
      </c>
      <c r="G933" s="100" t="s">
        <v>433</v>
      </c>
    </row>
    <row r="934" spans="1:7">
      <c r="A934" s="100">
        <v>38</v>
      </c>
      <c r="B934" s="100">
        <v>5</v>
      </c>
      <c r="C934" s="100">
        <v>1</v>
      </c>
      <c r="D934" s="100">
        <v>2</v>
      </c>
      <c r="E934" s="100" t="str">
        <f t="shared" si="39"/>
        <v>512</v>
      </c>
      <c r="F934" s="100">
        <v>4</v>
      </c>
      <c r="G934" s="100" t="s">
        <v>433</v>
      </c>
    </row>
    <row r="935" spans="1:7">
      <c r="A935" s="100">
        <v>39</v>
      </c>
      <c r="B935" s="100">
        <v>5</v>
      </c>
      <c r="C935" s="100">
        <v>1</v>
      </c>
      <c r="D935" s="100">
        <v>3</v>
      </c>
      <c r="E935" s="100" t="str">
        <f t="shared" si="39"/>
        <v>513</v>
      </c>
      <c r="F935" s="100">
        <v>4</v>
      </c>
      <c r="G935" s="100" t="s">
        <v>433</v>
      </c>
    </row>
    <row r="936" spans="1:7">
      <c r="A936" s="100">
        <v>40</v>
      </c>
      <c r="B936" s="100">
        <v>5</v>
      </c>
      <c r="C936" s="100">
        <v>2</v>
      </c>
      <c r="D936" s="100">
        <v>1</v>
      </c>
      <c r="E936" s="100" t="str">
        <f t="shared" si="39"/>
        <v>521</v>
      </c>
      <c r="F936" s="100">
        <v>4</v>
      </c>
      <c r="G936" s="100" t="s">
        <v>433</v>
      </c>
    </row>
    <row r="937" spans="1:7">
      <c r="A937" s="100">
        <v>41</v>
      </c>
      <c r="B937" s="100">
        <v>5</v>
      </c>
      <c r="C937" s="100">
        <v>2</v>
      </c>
      <c r="D937" s="100">
        <v>2</v>
      </c>
      <c r="E937" s="100" t="str">
        <f t="shared" si="39"/>
        <v>522</v>
      </c>
      <c r="F937" s="100">
        <v>4</v>
      </c>
      <c r="G937" s="100" t="s">
        <v>433</v>
      </c>
    </row>
    <row r="938" spans="1:7">
      <c r="A938" s="100">
        <v>42</v>
      </c>
      <c r="B938" s="100">
        <v>5</v>
      </c>
      <c r="C938" s="100">
        <v>2</v>
      </c>
      <c r="D938" s="100">
        <v>3</v>
      </c>
      <c r="E938" s="100" t="str">
        <f t="shared" si="39"/>
        <v>523</v>
      </c>
      <c r="F938" s="100">
        <v>5</v>
      </c>
      <c r="G938" s="100" t="s">
        <v>433</v>
      </c>
    </row>
    <row r="939" spans="1:7">
      <c r="A939" s="100">
        <v>43</v>
      </c>
      <c r="B939" s="100">
        <v>5</v>
      </c>
      <c r="C939" s="100">
        <v>3</v>
      </c>
      <c r="D939" s="100">
        <v>1</v>
      </c>
      <c r="E939" s="100" t="str">
        <f t="shared" si="39"/>
        <v>531</v>
      </c>
      <c r="F939" s="100">
        <v>4</v>
      </c>
      <c r="G939" s="100" t="s">
        <v>433</v>
      </c>
    </row>
    <row r="940" spans="1:7">
      <c r="A940" s="100">
        <v>44</v>
      </c>
      <c r="B940" s="100">
        <v>5</v>
      </c>
      <c r="C940" s="100">
        <v>3</v>
      </c>
      <c r="D940" s="100">
        <v>2</v>
      </c>
      <c r="E940" s="100" t="str">
        <f t="shared" si="39"/>
        <v>532</v>
      </c>
      <c r="F940" s="100">
        <v>5</v>
      </c>
      <c r="G940" s="100" t="s">
        <v>432</v>
      </c>
    </row>
    <row r="941" spans="1:7">
      <c r="A941" s="100">
        <v>45</v>
      </c>
      <c r="B941" s="100">
        <v>5</v>
      </c>
      <c r="C941" s="100">
        <v>3</v>
      </c>
      <c r="D941" s="100">
        <v>3</v>
      </c>
      <c r="E941" s="100" t="str">
        <f t="shared" si="39"/>
        <v>533</v>
      </c>
      <c r="F941" s="100">
        <v>5</v>
      </c>
      <c r="G941" s="100" t="s">
        <v>432</v>
      </c>
    </row>
    <row r="943" spans="1:7">
      <c r="A943" s="100" t="s">
        <v>503</v>
      </c>
      <c r="B943" s="100" t="s">
        <v>501</v>
      </c>
      <c r="C943" s="100" t="s">
        <v>497</v>
      </c>
      <c r="D943" s="100" t="s">
        <v>438</v>
      </c>
      <c r="E943" s="99" t="s">
        <v>361</v>
      </c>
      <c r="F943" s="100" t="s">
        <v>504</v>
      </c>
    </row>
    <row r="944" spans="1:7">
      <c r="A944" s="100">
        <v>1</v>
      </c>
      <c r="B944" s="100">
        <v>1</v>
      </c>
      <c r="C944" s="100">
        <v>1</v>
      </c>
      <c r="D944" s="100">
        <v>1</v>
      </c>
      <c r="E944" s="100" t="str">
        <f>CONCATENATE(B944,C944,D944)</f>
        <v>111</v>
      </c>
      <c r="F944" s="100">
        <v>1</v>
      </c>
      <c r="G944" s="100" t="s">
        <v>432</v>
      </c>
    </row>
    <row r="945" spans="1:7">
      <c r="A945" s="100">
        <v>2</v>
      </c>
      <c r="B945" s="100">
        <v>1</v>
      </c>
      <c r="C945" s="100">
        <v>1</v>
      </c>
      <c r="D945" s="100">
        <v>2</v>
      </c>
      <c r="E945" s="100" t="str">
        <f t="shared" ref="E945:E1008" si="40">CONCATENATE(B945,C945,D945)</f>
        <v>112</v>
      </c>
      <c r="F945" s="100">
        <v>1</v>
      </c>
      <c r="G945" s="100" t="s">
        <v>433</v>
      </c>
    </row>
    <row r="946" spans="1:7">
      <c r="A946" s="100">
        <v>3</v>
      </c>
      <c r="B946" s="100">
        <v>1</v>
      </c>
      <c r="C946" s="100">
        <v>1</v>
      </c>
      <c r="D946" s="100">
        <v>3</v>
      </c>
      <c r="E946" s="100" t="str">
        <f t="shared" si="40"/>
        <v>113</v>
      </c>
      <c r="F946" s="100">
        <v>2</v>
      </c>
      <c r="G946" s="100" t="s">
        <v>433</v>
      </c>
    </row>
    <row r="947" spans="1:7">
      <c r="A947" s="100">
        <v>4</v>
      </c>
      <c r="B947" s="100">
        <v>1</v>
      </c>
      <c r="C947" s="100">
        <v>2</v>
      </c>
      <c r="D947" s="100">
        <v>1</v>
      </c>
      <c r="E947" s="100" t="str">
        <f t="shared" si="40"/>
        <v>121</v>
      </c>
      <c r="F947" s="100">
        <v>1</v>
      </c>
      <c r="G947" s="100" t="s">
        <v>432</v>
      </c>
    </row>
    <row r="948" spans="1:7">
      <c r="A948" s="100">
        <v>5</v>
      </c>
      <c r="B948" s="100">
        <v>1</v>
      </c>
      <c r="C948" s="100">
        <v>2</v>
      </c>
      <c r="D948" s="100">
        <v>2</v>
      </c>
      <c r="E948" s="100" t="str">
        <f t="shared" si="40"/>
        <v>122</v>
      </c>
      <c r="F948" s="100">
        <v>2</v>
      </c>
      <c r="G948" s="100" t="s">
        <v>433</v>
      </c>
    </row>
    <row r="949" spans="1:7">
      <c r="A949" s="100">
        <v>6</v>
      </c>
      <c r="B949" s="100">
        <v>1</v>
      </c>
      <c r="C949" s="100">
        <v>2</v>
      </c>
      <c r="D949" s="100">
        <v>3</v>
      </c>
      <c r="E949" s="100" t="str">
        <f t="shared" si="40"/>
        <v>123</v>
      </c>
      <c r="F949" s="100">
        <v>3</v>
      </c>
      <c r="G949" s="100" t="s">
        <v>433</v>
      </c>
    </row>
    <row r="950" spans="1:7">
      <c r="A950" s="100">
        <v>7</v>
      </c>
      <c r="B950" s="100">
        <v>1</v>
      </c>
      <c r="C950" s="100">
        <v>3</v>
      </c>
      <c r="D950" s="100">
        <v>1</v>
      </c>
      <c r="E950" s="100" t="str">
        <f t="shared" si="40"/>
        <v>131</v>
      </c>
      <c r="F950" s="100">
        <v>2</v>
      </c>
      <c r="G950" s="100" t="s">
        <v>433</v>
      </c>
    </row>
    <row r="951" spans="1:7">
      <c r="A951" s="100">
        <v>8</v>
      </c>
      <c r="B951" s="100">
        <v>1</v>
      </c>
      <c r="C951" s="100">
        <v>3</v>
      </c>
      <c r="D951" s="100">
        <v>2</v>
      </c>
      <c r="E951" s="100" t="str">
        <f t="shared" si="40"/>
        <v>132</v>
      </c>
      <c r="F951" s="100">
        <v>3</v>
      </c>
      <c r="G951" s="100" t="s">
        <v>433</v>
      </c>
    </row>
    <row r="952" spans="1:7">
      <c r="A952" s="100">
        <v>9</v>
      </c>
      <c r="B952" s="100">
        <v>1</v>
      </c>
      <c r="C952" s="100">
        <v>3</v>
      </c>
      <c r="D952" s="100">
        <v>3</v>
      </c>
      <c r="E952" s="100" t="str">
        <f t="shared" si="40"/>
        <v>133</v>
      </c>
      <c r="F952" s="100">
        <v>3</v>
      </c>
      <c r="G952" s="100" t="s">
        <v>433</v>
      </c>
    </row>
    <row r="953" spans="1:7">
      <c r="A953" s="100">
        <v>10</v>
      </c>
      <c r="B953" s="100">
        <v>1</v>
      </c>
      <c r="C953" s="100">
        <v>4</v>
      </c>
      <c r="D953" s="100">
        <v>1</v>
      </c>
      <c r="E953" s="100" t="str">
        <f t="shared" si="40"/>
        <v>141</v>
      </c>
      <c r="F953" s="100">
        <v>3</v>
      </c>
      <c r="G953" s="100" t="s">
        <v>433</v>
      </c>
    </row>
    <row r="954" spans="1:7">
      <c r="A954" s="100">
        <v>11</v>
      </c>
      <c r="B954" s="100">
        <v>1</v>
      </c>
      <c r="C954" s="100">
        <v>4</v>
      </c>
      <c r="D954" s="100">
        <v>2</v>
      </c>
      <c r="E954" s="100" t="str">
        <f t="shared" si="40"/>
        <v>142</v>
      </c>
      <c r="F954" s="100">
        <v>3</v>
      </c>
      <c r="G954" s="100" t="s">
        <v>433</v>
      </c>
    </row>
    <row r="955" spans="1:7">
      <c r="A955" s="100">
        <v>12</v>
      </c>
      <c r="B955" s="100">
        <v>1</v>
      </c>
      <c r="C955" s="100">
        <v>4</v>
      </c>
      <c r="D955" s="100">
        <v>3</v>
      </c>
      <c r="E955" s="100" t="str">
        <f t="shared" si="40"/>
        <v>143</v>
      </c>
      <c r="F955" s="100">
        <v>4</v>
      </c>
      <c r="G955" s="100" t="s">
        <v>433</v>
      </c>
    </row>
    <row r="956" spans="1:7">
      <c r="A956" s="100">
        <v>13</v>
      </c>
      <c r="B956" s="100">
        <v>1</v>
      </c>
      <c r="C956" s="100">
        <v>5</v>
      </c>
      <c r="D956" s="100">
        <v>1</v>
      </c>
      <c r="E956" s="100" t="str">
        <f t="shared" si="40"/>
        <v>151</v>
      </c>
      <c r="F956" s="100">
        <v>3</v>
      </c>
      <c r="G956" s="100" t="s">
        <v>433</v>
      </c>
    </row>
    <row r="957" spans="1:7">
      <c r="A957" s="100">
        <v>14</v>
      </c>
      <c r="B957" s="100">
        <v>1</v>
      </c>
      <c r="C957" s="100">
        <v>5</v>
      </c>
      <c r="D957" s="100">
        <v>2</v>
      </c>
      <c r="E957" s="100" t="str">
        <f t="shared" si="40"/>
        <v>152</v>
      </c>
      <c r="F957" s="100">
        <v>4</v>
      </c>
      <c r="G957" s="100" t="s">
        <v>433</v>
      </c>
    </row>
    <row r="958" spans="1:7">
      <c r="A958" s="100">
        <v>15</v>
      </c>
      <c r="B958" s="100">
        <v>1</v>
      </c>
      <c r="C958" s="100">
        <v>5</v>
      </c>
      <c r="D958" s="100">
        <v>3</v>
      </c>
      <c r="E958" s="100" t="str">
        <f t="shared" si="40"/>
        <v>153</v>
      </c>
      <c r="F958" s="100">
        <v>5</v>
      </c>
      <c r="G958" s="100" t="s">
        <v>433</v>
      </c>
    </row>
    <row r="959" spans="1:7">
      <c r="A959" s="100">
        <v>16</v>
      </c>
      <c r="B959" s="100">
        <v>2</v>
      </c>
      <c r="C959" s="100">
        <v>1</v>
      </c>
      <c r="D959" s="100">
        <v>1</v>
      </c>
      <c r="E959" s="100" t="str">
        <f t="shared" si="40"/>
        <v>211</v>
      </c>
      <c r="F959" s="100">
        <v>1</v>
      </c>
      <c r="G959" s="100" t="s">
        <v>433</v>
      </c>
    </row>
    <row r="960" spans="1:7">
      <c r="A960" s="100">
        <v>17</v>
      </c>
      <c r="B960" s="100">
        <v>2</v>
      </c>
      <c r="C960" s="100">
        <v>1</v>
      </c>
      <c r="D960" s="100">
        <v>2</v>
      </c>
      <c r="E960" s="100" t="str">
        <f t="shared" si="40"/>
        <v>212</v>
      </c>
      <c r="F960" s="100">
        <v>2</v>
      </c>
      <c r="G960" s="100" t="s">
        <v>433</v>
      </c>
    </row>
    <row r="961" spans="1:7">
      <c r="A961" s="100">
        <v>18</v>
      </c>
      <c r="B961" s="100">
        <v>2</v>
      </c>
      <c r="C961" s="100">
        <v>1</v>
      </c>
      <c r="D961" s="100">
        <v>3</v>
      </c>
      <c r="E961" s="100" t="str">
        <f t="shared" si="40"/>
        <v>213</v>
      </c>
      <c r="F961" s="100">
        <v>3</v>
      </c>
      <c r="G961" s="100" t="s">
        <v>433</v>
      </c>
    </row>
    <row r="962" spans="1:7">
      <c r="A962" s="100">
        <v>19</v>
      </c>
      <c r="B962" s="100">
        <v>2</v>
      </c>
      <c r="C962" s="100">
        <v>2</v>
      </c>
      <c r="D962" s="100">
        <v>1</v>
      </c>
      <c r="E962" s="100" t="str">
        <f t="shared" si="40"/>
        <v>221</v>
      </c>
      <c r="F962" s="100">
        <v>2</v>
      </c>
      <c r="G962" s="100" t="s">
        <v>433</v>
      </c>
    </row>
    <row r="963" spans="1:7">
      <c r="A963" s="100">
        <v>20</v>
      </c>
      <c r="B963" s="100">
        <v>2</v>
      </c>
      <c r="C963" s="100">
        <v>2</v>
      </c>
      <c r="D963" s="100">
        <v>2</v>
      </c>
      <c r="E963" s="100" t="str">
        <f t="shared" si="40"/>
        <v>222</v>
      </c>
      <c r="F963" s="100">
        <v>3</v>
      </c>
      <c r="G963" s="100" t="s">
        <v>433</v>
      </c>
    </row>
    <row r="964" spans="1:7">
      <c r="A964" s="100">
        <v>21</v>
      </c>
      <c r="B964" s="100">
        <v>2</v>
      </c>
      <c r="C964" s="100">
        <v>2</v>
      </c>
      <c r="D964" s="100">
        <v>3</v>
      </c>
      <c r="E964" s="100" t="str">
        <f t="shared" si="40"/>
        <v>223</v>
      </c>
      <c r="F964" s="100">
        <v>3</v>
      </c>
      <c r="G964" s="100" t="s">
        <v>433</v>
      </c>
    </row>
    <row r="965" spans="1:7">
      <c r="A965" s="100">
        <v>22</v>
      </c>
      <c r="B965" s="100">
        <v>2</v>
      </c>
      <c r="C965" s="100">
        <v>3</v>
      </c>
      <c r="D965" s="100">
        <v>1</v>
      </c>
      <c r="E965" s="100" t="str">
        <f t="shared" si="40"/>
        <v>231</v>
      </c>
      <c r="F965" s="100">
        <v>3</v>
      </c>
      <c r="G965" s="100" t="s">
        <v>433</v>
      </c>
    </row>
    <row r="966" spans="1:7">
      <c r="A966" s="100">
        <v>23</v>
      </c>
      <c r="B966" s="100">
        <v>2</v>
      </c>
      <c r="C966" s="100">
        <v>3</v>
      </c>
      <c r="D966" s="100">
        <v>2</v>
      </c>
      <c r="E966" s="100" t="str">
        <f t="shared" si="40"/>
        <v>232</v>
      </c>
      <c r="F966" s="100">
        <v>3</v>
      </c>
      <c r="G966" s="100" t="s">
        <v>433</v>
      </c>
    </row>
    <row r="967" spans="1:7">
      <c r="A967" s="100">
        <v>24</v>
      </c>
      <c r="B967" s="100">
        <v>2</v>
      </c>
      <c r="C967" s="100">
        <v>3</v>
      </c>
      <c r="D967" s="100">
        <v>3</v>
      </c>
      <c r="E967" s="100" t="str">
        <f t="shared" si="40"/>
        <v>233</v>
      </c>
      <c r="F967" s="100">
        <v>4</v>
      </c>
      <c r="G967" s="100" t="s">
        <v>433</v>
      </c>
    </row>
    <row r="968" spans="1:7">
      <c r="A968" s="100">
        <v>25</v>
      </c>
      <c r="B968" s="100">
        <v>2</v>
      </c>
      <c r="C968" s="100">
        <v>4</v>
      </c>
      <c r="D968" s="100">
        <v>1</v>
      </c>
      <c r="E968" s="100" t="str">
        <f t="shared" si="40"/>
        <v>241</v>
      </c>
      <c r="F968" s="100">
        <v>3</v>
      </c>
      <c r="G968" s="100" t="s">
        <v>433</v>
      </c>
    </row>
    <row r="969" spans="1:7">
      <c r="A969" s="100">
        <v>26</v>
      </c>
      <c r="B969" s="100">
        <v>2</v>
      </c>
      <c r="C969" s="100">
        <v>4</v>
      </c>
      <c r="D969" s="100">
        <v>2</v>
      </c>
      <c r="E969" s="100" t="str">
        <f t="shared" si="40"/>
        <v>242</v>
      </c>
      <c r="F969" s="100">
        <v>4</v>
      </c>
      <c r="G969" s="100" t="s">
        <v>433</v>
      </c>
    </row>
    <row r="970" spans="1:7">
      <c r="A970" s="100">
        <v>27</v>
      </c>
      <c r="B970" s="100">
        <v>2</v>
      </c>
      <c r="C970" s="100">
        <v>4</v>
      </c>
      <c r="D970" s="100">
        <v>3</v>
      </c>
      <c r="E970" s="100" t="str">
        <f t="shared" si="40"/>
        <v>243</v>
      </c>
      <c r="F970" s="100">
        <v>5</v>
      </c>
      <c r="G970" s="100" t="s">
        <v>433</v>
      </c>
    </row>
    <row r="971" spans="1:7">
      <c r="A971" s="100">
        <v>28</v>
      </c>
      <c r="B971" s="100">
        <v>2</v>
      </c>
      <c r="C971" s="100">
        <v>5</v>
      </c>
      <c r="D971" s="100">
        <v>1</v>
      </c>
      <c r="E971" s="100" t="str">
        <f t="shared" si="40"/>
        <v>251</v>
      </c>
      <c r="F971" s="100">
        <v>4</v>
      </c>
      <c r="G971" s="100" t="s">
        <v>433</v>
      </c>
    </row>
    <row r="972" spans="1:7">
      <c r="A972" s="100">
        <v>29</v>
      </c>
      <c r="B972" s="100">
        <v>2</v>
      </c>
      <c r="C972" s="100">
        <v>5</v>
      </c>
      <c r="D972" s="100">
        <v>2</v>
      </c>
      <c r="E972" s="100" t="str">
        <f t="shared" si="40"/>
        <v>252</v>
      </c>
      <c r="F972" s="100">
        <v>5</v>
      </c>
      <c r="G972" s="100" t="s">
        <v>433</v>
      </c>
    </row>
    <row r="973" spans="1:7">
      <c r="A973" s="100">
        <v>30</v>
      </c>
      <c r="B973" s="100">
        <v>2</v>
      </c>
      <c r="C973" s="100">
        <v>5</v>
      </c>
      <c r="D973" s="100">
        <v>3</v>
      </c>
      <c r="E973" s="100" t="str">
        <f t="shared" si="40"/>
        <v>253</v>
      </c>
      <c r="F973" s="100">
        <v>5</v>
      </c>
      <c r="G973" s="100" t="s">
        <v>433</v>
      </c>
    </row>
    <row r="974" spans="1:7">
      <c r="A974" s="100">
        <v>31</v>
      </c>
      <c r="B974" s="100">
        <v>3</v>
      </c>
      <c r="C974" s="100">
        <v>1</v>
      </c>
      <c r="D974" s="100">
        <v>1</v>
      </c>
      <c r="E974" s="100" t="str">
        <f t="shared" si="40"/>
        <v>311</v>
      </c>
      <c r="F974" s="100">
        <v>2</v>
      </c>
      <c r="G974" s="100" t="s">
        <v>433</v>
      </c>
    </row>
    <row r="975" spans="1:7">
      <c r="A975" s="100">
        <v>32</v>
      </c>
      <c r="B975" s="100">
        <v>3</v>
      </c>
      <c r="C975" s="100">
        <v>1</v>
      </c>
      <c r="D975" s="100">
        <v>2</v>
      </c>
      <c r="E975" s="100" t="str">
        <f t="shared" si="40"/>
        <v>312</v>
      </c>
      <c r="F975" s="100">
        <v>3</v>
      </c>
      <c r="G975" s="100" t="s">
        <v>433</v>
      </c>
    </row>
    <row r="976" spans="1:7">
      <c r="A976" s="100">
        <v>33</v>
      </c>
      <c r="B976" s="100">
        <v>3</v>
      </c>
      <c r="C976" s="100">
        <v>1</v>
      </c>
      <c r="D976" s="100">
        <v>3</v>
      </c>
      <c r="E976" s="100" t="str">
        <f t="shared" si="40"/>
        <v>313</v>
      </c>
      <c r="F976" s="100">
        <v>3</v>
      </c>
      <c r="G976" s="100" t="s">
        <v>433</v>
      </c>
    </row>
    <row r="977" spans="1:7">
      <c r="A977" s="100">
        <v>34</v>
      </c>
      <c r="B977" s="100">
        <v>3</v>
      </c>
      <c r="C977" s="100">
        <v>2</v>
      </c>
      <c r="D977" s="100">
        <v>1</v>
      </c>
      <c r="E977" s="100" t="str">
        <f t="shared" si="40"/>
        <v>321</v>
      </c>
      <c r="F977" s="100">
        <v>3</v>
      </c>
      <c r="G977" s="100" t="s">
        <v>433</v>
      </c>
    </row>
    <row r="978" spans="1:7">
      <c r="A978" s="100">
        <v>35</v>
      </c>
      <c r="B978" s="100">
        <v>3</v>
      </c>
      <c r="C978" s="100">
        <v>2</v>
      </c>
      <c r="D978" s="100">
        <v>2</v>
      </c>
      <c r="E978" s="100" t="str">
        <f t="shared" si="40"/>
        <v>322</v>
      </c>
      <c r="F978" s="100">
        <v>3</v>
      </c>
      <c r="G978" s="100" t="s">
        <v>433</v>
      </c>
    </row>
    <row r="979" spans="1:7">
      <c r="A979" s="100">
        <v>36</v>
      </c>
      <c r="B979" s="100">
        <v>3</v>
      </c>
      <c r="C979" s="100">
        <v>2</v>
      </c>
      <c r="D979" s="100">
        <v>3</v>
      </c>
      <c r="E979" s="100" t="str">
        <f t="shared" si="40"/>
        <v>323</v>
      </c>
      <c r="F979" s="100">
        <v>4</v>
      </c>
      <c r="G979" s="100" t="s">
        <v>433</v>
      </c>
    </row>
    <row r="980" spans="1:7">
      <c r="A980" s="100">
        <v>37</v>
      </c>
      <c r="B980" s="100">
        <v>3</v>
      </c>
      <c r="C980" s="100">
        <v>3</v>
      </c>
      <c r="D980" s="100">
        <v>1</v>
      </c>
      <c r="E980" s="100" t="str">
        <f t="shared" si="40"/>
        <v>331</v>
      </c>
      <c r="F980" s="100">
        <v>3</v>
      </c>
      <c r="G980" s="100" t="s">
        <v>433</v>
      </c>
    </row>
    <row r="981" spans="1:7">
      <c r="A981" s="100">
        <v>38</v>
      </c>
      <c r="B981" s="100">
        <v>3</v>
      </c>
      <c r="C981" s="100">
        <v>3</v>
      </c>
      <c r="D981" s="100">
        <v>2</v>
      </c>
      <c r="E981" s="100" t="str">
        <f t="shared" si="40"/>
        <v>332</v>
      </c>
      <c r="F981" s="100">
        <v>4</v>
      </c>
      <c r="G981" s="100" t="s">
        <v>433</v>
      </c>
    </row>
    <row r="982" spans="1:7">
      <c r="A982" s="100">
        <v>39</v>
      </c>
      <c r="B982" s="100">
        <v>3</v>
      </c>
      <c r="C982" s="100">
        <v>3</v>
      </c>
      <c r="D982" s="100">
        <v>3</v>
      </c>
      <c r="E982" s="100" t="str">
        <f t="shared" si="40"/>
        <v>333</v>
      </c>
      <c r="F982" s="100">
        <v>5</v>
      </c>
      <c r="G982" s="100" t="s">
        <v>433</v>
      </c>
    </row>
    <row r="983" spans="1:7">
      <c r="A983" s="100">
        <v>40</v>
      </c>
      <c r="B983" s="100">
        <v>3</v>
      </c>
      <c r="C983" s="100">
        <v>4</v>
      </c>
      <c r="D983" s="100">
        <v>1</v>
      </c>
      <c r="E983" s="100" t="str">
        <f t="shared" si="40"/>
        <v>341</v>
      </c>
      <c r="F983" s="100">
        <v>4</v>
      </c>
      <c r="G983" s="100" t="s">
        <v>433</v>
      </c>
    </row>
    <row r="984" spans="1:7">
      <c r="A984" s="100">
        <v>41</v>
      </c>
      <c r="B984" s="100">
        <v>3</v>
      </c>
      <c r="C984" s="100">
        <v>4</v>
      </c>
      <c r="D984" s="100">
        <v>2</v>
      </c>
      <c r="E984" s="100" t="str">
        <f t="shared" si="40"/>
        <v>342</v>
      </c>
      <c r="F984" s="100">
        <v>5</v>
      </c>
      <c r="G984" s="100" t="s">
        <v>433</v>
      </c>
    </row>
    <row r="985" spans="1:7">
      <c r="A985" s="100">
        <v>42</v>
      </c>
      <c r="B985" s="100">
        <v>3</v>
      </c>
      <c r="C985" s="100">
        <v>4</v>
      </c>
      <c r="D985" s="100">
        <v>3</v>
      </c>
      <c r="E985" s="100" t="str">
        <f t="shared" si="40"/>
        <v>343</v>
      </c>
      <c r="F985" s="100">
        <v>5</v>
      </c>
      <c r="G985" s="100" t="s">
        <v>433</v>
      </c>
    </row>
    <row r="986" spans="1:7">
      <c r="A986" s="100">
        <v>43</v>
      </c>
      <c r="B986" s="100">
        <v>3</v>
      </c>
      <c r="C986" s="100">
        <v>5</v>
      </c>
      <c r="D986" s="100">
        <v>1</v>
      </c>
      <c r="E986" s="100" t="str">
        <f t="shared" si="40"/>
        <v>351</v>
      </c>
      <c r="F986" s="100">
        <v>5</v>
      </c>
      <c r="G986" s="100" t="s">
        <v>433</v>
      </c>
    </row>
    <row r="987" spans="1:7">
      <c r="A987" s="100">
        <v>44</v>
      </c>
      <c r="B987" s="100">
        <v>3</v>
      </c>
      <c r="C987" s="100">
        <v>5</v>
      </c>
      <c r="D987" s="100">
        <v>2</v>
      </c>
      <c r="E987" s="100" t="str">
        <f t="shared" si="40"/>
        <v>352</v>
      </c>
      <c r="F987" s="100">
        <v>5</v>
      </c>
      <c r="G987" s="100" t="s">
        <v>433</v>
      </c>
    </row>
    <row r="988" spans="1:7">
      <c r="A988" s="100">
        <v>45</v>
      </c>
      <c r="B988" s="100">
        <v>3</v>
      </c>
      <c r="C988" s="100">
        <v>5</v>
      </c>
      <c r="D988" s="100">
        <v>3</v>
      </c>
      <c r="E988" s="100" t="str">
        <f t="shared" si="40"/>
        <v>353</v>
      </c>
      <c r="F988" s="100">
        <v>6</v>
      </c>
      <c r="G988" s="100" t="s">
        <v>433</v>
      </c>
    </row>
    <row r="989" spans="1:7">
      <c r="A989" s="100">
        <v>46</v>
      </c>
      <c r="B989" s="100">
        <v>4</v>
      </c>
      <c r="C989" s="100">
        <v>1</v>
      </c>
      <c r="D989" s="100">
        <v>1</v>
      </c>
      <c r="E989" s="100" t="str">
        <f t="shared" si="40"/>
        <v>411</v>
      </c>
      <c r="F989" s="100">
        <v>3</v>
      </c>
      <c r="G989" s="100" t="s">
        <v>433</v>
      </c>
    </row>
    <row r="990" spans="1:7">
      <c r="A990" s="100">
        <v>47</v>
      </c>
      <c r="B990" s="100">
        <v>4</v>
      </c>
      <c r="C990" s="100">
        <v>1</v>
      </c>
      <c r="D990" s="100">
        <v>2</v>
      </c>
      <c r="E990" s="100" t="str">
        <f t="shared" si="40"/>
        <v>412</v>
      </c>
      <c r="F990" s="100">
        <v>3</v>
      </c>
      <c r="G990" s="100" t="s">
        <v>433</v>
      </c>
    </row>
    <row r="991" spans="1:7">
      <c r="A991" s="100">
        <v>48</v>
      </c>
      <c r="B991" s="100">
        <v>4</v>
      </c>
      <c r="C991" s="100">
        <v>1</v>
      </c>
      <c r="D991" s="100">
        <v>3</v>
      </c>
      <c r="E991" s="100" t="str">
        <f t="shared" si="40"/>
        <v>413</v>
      </c>
      <c r="F991" s="100">
        <v>4</v>
      </c>
      <c r="G991" s="100" t="s">
        <v>433</v>
      </c>
    </row>
    <row r="992" spans="1:7">
      <c r="A992" s="100">
        <v>49</v>
      </c>
      <c r="B992" s="100">
        <v>4</v>
      </c>
      <c r="C992" s="100">
        <v>2</v>
      </c>
      <c r="D992" s="100">
        <v>1</v>
      </c>
      <c r="E992" s="100" t="str">
        <f t="shared" si="40"/>
        <v>421</v>
      </c>
      <c r="F992" s="100">
        <v>3</v>
      </c>
      <c r="G992" s="100" t="s">
        <v>433</v>
      </c>
    </row>
    <row r="993" spans="1:7">
      <c r="A993" s="100">
        <v>50</v>
      </c>
      <c r="B993" s="100">
        <v>4</v>
      </c>
      <c r="C993" s="100">
        <v>2</v>
      </c>
      <c r="D993" s="100">
        <v>2</v>
      </c>
      <c r="E993" s="100" t="str">
        <f t="shared" si="40"/>
        <v>422</v>
      </c>
      <c r="F993" s="100">
        <v>4</v>
      </c>
      <c r="G993" s="100" t="s">
        <v>433</v>
      </c>
    </row>
    <row r="994" spans="1:7">
      <c r="A994" s="100">
        <v>51</v>
      </c>
      <c r="B994" s="100">
        <v>4</v>
      </c>
      <c r="C994" s="100">
        <v>2</v>
      </c>
      <c r="D994" s="100">
        <v>3</v>
      </c>
      <c r="E994" s="100" t="str">
        <f t="shared" si="40"/>
        <v>423</v>
      </c>
      <c r="F994" s="100">
        <v>5</v>
      </c>
      <c r="G994" s="100" t="s">
        <v>433</v>
      </c>
    </row>
    <row r="995" spans="1:7">
      <c r="A995" s="100">
        <v>52</v>
      </c>
      <c r="B995" s="100">
        <v>4</v>
      </c>
      <c r="C995" s="100">
        <v>3</v>
      </c>
      <c r="D995" s="100">
        <v>1</v>
      </c>
      <c r="E995" s="100" t="str">
        <f t="shared" si="40"/>
        <v>431</v>
      </c>
      <c r="F995" s="100">
        <v>4</v>
      </c>
      <c r="G995" s="100" t="s">
        <v>433</v>
      </c>
    </row>
    <row r="996" spans="1:7">
      <c r="A996" s="100">
        <v>53</v>
      </c>
      <c r="B996" s="100">
        <v>4</v>
      </c>
      <c r="C996" s="100">
        <v>3</v>
      </c>
      <c r="D996" s="100">
        <v>2</v>
      </c>
      <c r="E996" s="100" t="str">
        <f t="shared" si="40"/>
        <v>432</v>
      </c>
      <c r="F996" s="100">
        <v>5</v>
      </c>
      <c r="G996" s="100" t="s">
        <v>433</v>
      </c>
    </row>
    <row r="997" spans="1:7">
      <c r="A997" s="100">
        <v>54</v>
      </c>
      <c r="B997" s="100">
        <v>4</v>
      </c>
      <c r="C997" s="100">
        <v>3</v>
      </c>
      <c r="D997" s="100">
        <v>3</v>
      </c>
      <c r="E997" s="100" t="str">
        <f t="shared" si="40"/>
        <v>433</v>
      </c>
      <c r="F997" s="100">
        <v>5</v>
      </c>
      <c r="G997" s="100" t="s">
        <v>433</v>
      </c>
    </row>
    <row r="998" spans="1:7">
      <c r="A998" s="100">
        <v>55</v>
      </c>
      <c r="B998" s="100">
        <v>4</v>
      </c>
      <c r="C998" s="100">
        <v>4</v>
      </c>
      <c r="D998" s="100">
        <v>1</v>
      </c>
      <c r="E998" s="100" t="str">
        <f t="shared" si="40"/>
        <v>441</v>
      </c>
      <c r="F998" s="100">
        <v>5</v>
      </c>
      <c r="G998" s="100" t="s">
        <v>433</v>
      </c>
    </row>
    <row r="999" spans="1:7">
      <c r="A999" s="100">
        <v>56</v>
      </c>
      <c r="B999" s="100">
        <v>4</v>
      </c>
      <c r="C999" s="100">
        <v>4</v>
      </c>
      <c r="D999" s="100">
        <v>2</v>
      </c>
      <c r="E999" s="100" t="str">
        <f t="shared" si="40"/>
        <v>442</v>
      </c>
      <c r="F999" s="100">
        <v>5</v>
      </c>
      <c r="G999" s="100" t="s">
        <v>433</v>
      </c>
    </row>
    <row r="1000" spans="1:7">
      <c r="A1000" s="100">
        <v>57</v>
      </c>
      <c r="B1000" s="100">
        <v>4</v>
      </c>
      <c r="C1000" s="100">
        <v>4</v>
      </c>
      <c r="D1000" s="100">
        <v>3</v>
      </c>
      <c r="E1000" s="100" t="str">
        <f t="shared" si="40"/>
        <v>443</v>
      </c>
      <c r="F1000" s="100">
        <v>6</v>
      </c>
      <c r="G1000" s="100" t="s">
        <v>433</v>
      </c>
    </row>
    <row r="1001" spans="1:7">
      <c r="A1001" s="100">
        <v>58</v>
      </c>
      <c r="B1001" s="100">
        <v>4</v>
      </c>
      <c r="C1001" s="100">
        <v>5</v>
      </c>
      <c r="D1001" s="100">
        <v>1</v>
      </c>
      <c r="E1001" s="100" t="str">
        <f t="shared" si="40"/>
        <v>451</v>
      </c>
      <c r="F1001" s="100">
        <v>5</v>
      </c>
      <c r="G1001" s="100" t="s">
        <v>433</v>
      </c>
    </row>
    <row r="1002" spans="1:7">
      <c r="A1002" s="100">
        <v>59</v>
      </c>
      <c r="B1002" s="100">
        <v>4</v>
      </c>
      <c r="C1002" s="100">
        <v>5</v>
      </c>
      <c r="D1002" s="100">
        <v>2</v>
      </c>
      <c r="E1002" s="100" t="str">
        <f t="shared" si="40"/>
        <v>452</v>
      </c>
      <c r="F1002" s="100">
        <v>6</v>
      </c>
      <c r="G1002" s="100" t="s">
        <v>433</v>
      </c>
    </row>
    <row r="1003" spans="1:7">
      <c r="A1003" s="100">
        <v>60</v>
      </c>
      <c r="B1003" s="100">
        <v>4</v>
      </c>
      <c r="C1003" s="100">
        <v>5</v>
      </c>
      <c r="D1003" s="100">
        <v>3</v>
      </c>
      <c r="E1003" s="100" t="str">
        <f t="shared" si="40"/>
        <v>453</v>
      </c>
      <c r="F1003" s="100">
        <v>7</v>
      </c>
      <c r="G1003" s="100" t="s">
        <v>432</v>
      </c>
    </row>
    <row r="1004" spans="1:7">
      <c r="A1004" s="100">
        <v>61</v>
      </c>
      <c r="B1004" s="100">
        <v>5</v>
      </c>
      <c r="C1004" s="100">
        <v>1</v>
      </c>
      <c r="D1004" s="100">
        <v>1</v>
      </c>
      <c r="E1004" s="100" t="str">
        <f t="shared" si="40"/>
        <v>511</v>
      </c>
      <c r="F1004" s="100">
        <v>3</v>
      </c>
      <c r="G1004" s="100" t="s">
        <v>433</v>
      </c>
    </row>
    <row r="1005" spans="1:7">
      <c r="A1005" s="100">
        <v>62</v>
      </c>
      <c r="B1005" s="100">
        <v>5</v>
      </c>
      <c r="C1005" s="100">
        <v>1</v>
      </c>
      <c r="D1005" s="100">
        <v>2</v>
      </c>
      <c r="E1005" s="100" t="str">
        <f t="shared" si="40"/>
        <v>512</v>
      </c>
      <c r="F1005" s="100">
        <v>4</v>
      </c>
      <c r="G1005" s="100" t="s">
        <v>433</v>
      </c>
    </row>
    <row r="1006" spans="1:7">
      <c r="A1006" s="100">
        <v>63</v>
      </c>
      <c r="B1006" s="100">
        <v>5</v>
      </c>
      <c r="C1006" s="100">
        <v>1</v>
      </c>
      <c r="D1006" s="100">
        <v>3</v>
      </c>
      <c r="E1006" s="100" t="str">
        <f t="shared" si="40"/>
        <v>513</v>
      </c>
      <c r="F1006" s="100">
        <v>5</v>
      </c>
      <c r="G1006" s="100" t="s">
        <v>433</v>
      </c>
    </row>
    <row r="1007" spans="1:7">
      <c r="A1007" s="100">
        <v>64</v>
      </c>
      <c r="B1007" s="100">
        <v>5</v>
      </c>
      <c r="C1007" s="100">
        <v>2</v>
      </c>
      <c r="D1007" s="100">
        <v>1</v>
      </c>
      <c r="E1007" s="100" t="str">
        <f t="shared" si="40"/>
        <v>521</v>
      </c>
      <c r="F1007" s="100">
        <v>4</v>
      </c>
      <c r="G1007" s="100" t="s">
        <v>433</v>
      </c>
    </row>
    <row r="1008" spans="1:7">
      <c r="A1008" s="100">
        <v>65</v>
      </c>
      <c r="B1008" s="100">
        <v>5</v>
      </c>
      <c r="C1008" s="100">
        <v>2</v>
      </c>
      <c r="D1008" s="100">
        <v>2</v>
      </c>
      <c r="E1008" s="100" t="str">
        <f t="shared" si="40"/>
        <v>522</v>
      </c>
      <c r="F1008" s="100">
        <v>5</v>
      </c>
      <c r="G1008" s="100" t="s">
        <v>433</v>
      </c>
    </row>
    <row r="1009" spans="1:7">
      <c r="A1009" s="100">
        <v>66</v>
      </c>
      <c r="B1009" s="100">
        <v>5</v>
      </c>
      <c r="C1009" s="100">
        <v>2</v>
      </c>
      <c r="D1009" s="100">
        <v>3</v>
      </c>
      <c r="E1009" s="100" t="str">
        <f t="shared" ref="E1009:E1018" si="41">CONCATENATE(B1009,C1009,D1009)</f>
        <v>523</v>
      </c>
      <c r="F1009" s="100">
        <v>5</v>
      </c>
      <c r="G1009" s="100" t="s">
        <v>433</v>
      </c>
    </row>
    <row r="1010" spans="1:7">
      <c r="A1010" s="100">
        <v>67</v>
      </c>
      <c r="B1010" s="100">
        <v>5</v>
      </c>
      <c r="C1010" s="100">
        <v>3</v>
      </c>
      <c r="D1010" s="100">
        <v>1</v>
      </c>
      <c r="E1010" s="100" t="str">
        <f t="shared" si="41"/>
        <v>531</v>
      </c>
      <c r="F1010" s="100">
        <v>5</v>
      </c>
      <c r="G1010" s="100" t="s">
        <v>433</v>
      </c>
    </row>
    <row r="1011" spans="1:7">
      <c r="A1011" s="100">
        <v>68</v>
      </c>
      <c r="B1011" s="100">
        <v>5</v>
      </c>
      <c r="C1011" s="100">
        <v>3</v>
      </c>
      <c r="D1011" s="100">
        <v>2</v>
      </c>
      <c r="E1011" s="100" t="str">
        <f t="shared" si="41"/>
        <v>532</v>
      </c>
      <c r="F1011" s="100">
        <v>5</v>
      </c>
      <c r="G1011" s="100" t="s">
        <v>433</v>
      </c>
    </row>
    <row r="1012" spans="1:7">
      <c r="A1012" s="100">
        <v>69</v>
      </c>
      <c r="B1012" s="100">
        <v>5</v>
      </c>
      <c r="C1012" s="100">
        <v>3</v>
      </c>
      <c r="D1012" s="100">
        <v>3</v>
      </c>
      <c r="E1012" s="100" t="str">
        <f t="shared" si="41"/>
        <v>533</v>
      </c>
      <c r="F1012" s="100">
        <v>6</v>
      </c>
      <c r="G1012" s="100" t="s">
        <v>433</v>
      </c>
    </row>
    <row r="1013" spans="1:7">
      <c r="A1013" s="100">
        <v>70</v>
      </c>
      <c r="B1013" s="100">
        <v>5</v>
      </c>
      <c r="C1013" s="100">
        <v>4</v>
      </c>
      <c r="D1013" s="100">
        <v>1</v>
      </c>
      <c r="E1013" s="100" t="str">
        <f t="shared" si="41"/>
        <v>541</v>
      </c>
      <c r="F1013" s="100">
        <v>5</v>
      </c>
      <c r="G1013" s="100" t="s">
        <v>433</v>
      </c>
    </row>
    <row r="1014" spans="1:7">
      <c r="A1014" s="100">
        <v>71</v>
      </c>
      <c r="B1014" s="100">
        <v>5</v>
      </c>
      <c r="C1014" s="100">
        <v>4</v>
      </c>
      <c r="D1014" s="100">
        <v>2</v>
      </c>
      <c r="E1014" s="100" t="str">
        <f t="shared" si="41"/>
        <v>542</v>
      </c>
      <c r="F1014" s="100">
        <v>6</v>
      </c>
      <c r="G1014" s="100" t="s">
        <v>433</v>
      </c>
    </row>
    <row r="1015" spans="1:7">
      <c r="A1015" s="100">
        <v>72</v>
      </c>
      <c r="B1015" s="100">
        <v>5</v>
      </c>
      <c r="C1015" s="100">
        <v>4</v>
      </c>
      <c r="D1015" s="100">
        <v>3</v>
      </c>
      <c r="E1015" s="100" t="str">
        <f t="shared" si="41"/>
        <v>543</v>
      </c>
      <c r="F1015" s="100">
        <v>7</v>
      </c>
      <c r="G1015" s="100" t="s">
        <v>433</v>
      </c>
    </row>
    <row r="1016" spans="1:7">
      <c r="A1016" s="100">
        <v>73</v>
      </c>
      <c r="B1016" s="100">
        <v>5</v>
      </c>
      <c r="C1016" s="100">
        <v>5</v>
      </c>
      <c r="D1016" s="100">
        <v>1</v>
      </c>
      <c r="E1016" s="100" t="str">
        <f t="shared" si="41"/>
        <v>551</v>
      </c>
      <c r="F1016" s="100">
        <v>6</v>
      </c>
      <c r="G1016" s="100" t="s">
        <v>433</v>
      </c>
    </row>
    <row r="1017" spans="1:7">
      <c r="A1017" s="100">
        <v>74</v>
      </c>
      <c r="B1017" s="100">
        <v>5</v>
      </c>
      <c r="C1017" s="100">
        <v>5</v>
      </c>
      <c r="D1017" s="100">
        <v>2</v>
      </c>
      <c r="E1017" s="100" t="str">
        <f t="shared" si="41"/>
        <v>552</v>
      </c>
      <c r="F1017" s="100">
        <v>7</v>
      </c>
      <c r="G1017" s="100" t="s">
        <v>433</v>
      </c>
    </row>
    <row r="1018" spans="1:7">
      <c r="A1018" s="100">
        <v>75</v>
      </c>
      <c r="B1018" s="100">
        <v>5</v>
      </c>
      <c r="C1018" s="100">
        <v>5</v>
      </c>
      <c r="D1018" s="100">
        <v>3</v>
      </c>
      <c r="E1018" s="100" t="str">
        <f t="shared" si="41"/>
        <v>553</v>
      </c>
      <c r="F1018" s="100">
        <v>7</v>
      </c>
      <c r="G1018" s="100" t="s">
        <v>432</v>
      </c>
    </row>
    <row r="1020" spans="1:7">
      <c r="A1020" s="100" t="s">
        <v>505</v>
      </c>
      <c r="B1020" s="100" t="s">
        <v>504</v>
      </c>
      <c r="C1020" s="100" t="s">
        <v>493</v>
      </c>
      <c r="D1020" s="99" t="s">
        <v>361</v>
      </c>
      <c r="E1020" s="100" t="s">
        <v>69</v>
      </c>
    </row>
    <row r="1021" spans="1:7">
      <c r="A1021" s="100">
        <v>1</v>
      </c>
      <c r="B1021" s="100">
        <v>1</v>
      </c>
      <c r="C1021" s="100">
        <v>1</v>
      </c>
      <c r="D1021" s="100" t="str">
        <f>CONCATENATE(B1021,C1021)</f>
        <v>11</v>
      </c>
      <c r="E1021" s="100">
        <v>1</v>
      </c>
      <c r="F1021" s="100" t="s">
        <v>432</v>
      </c>
    </row>
    <row r="1022" spans="1:7">
      <c r="A1022" s="100">
        <v>2</v>
      </c>
      <c r="B1022" s="100">
        <v>1</v>
      </c>
      <c r="C1022" s="100">
        <v>2</v>
      </c>
      <c r="D1022" s="100" t="str">
        <f t="shared" ref="D1022:D1055" si="42">CONCATENATE(B1022,C1022)</f>
        <v>12</v>
      </c>
      <c r="E1022" s="100">
        <v>1</v>
      </c>
      <c r="F1022" s="100" t="s">
        <v>432</v>
      </c>
    </row>
    <row r="1023" spans="1:7">
      <c r="A1023" s="100">
        <v>3</v>
      </c>
      <c r="B1023" s="100">
        <v>1</v>
      </c>
      <c r="C1023" s="100">
        <v>3</v>
      </c>
      <c r="D1023" s="100" t="str">
        <f t="shared" si="42"/>
        <v>13</v>
      </c>
      <c r="E1023" s="100">
        <v>2</v>
      </c>
      <c r="F1023" s="100" t="s">
        <v>433</v>
      </c>
    </row>
    <row r="1024" spans="1:7">
      <c r="A1024" s="100">
        <v>4</v>
      </c>
      <c r="B1024" s="100">
        <v>1</v>
      </c>
      <c r="C1024" s="100">
        <v>4</v>
      </c>
      <c r="D1024" s="100" t="str">
        <f t="shared" si="42"/>
        <v>14</v>
      </c>
      <c r="E1024" s="100">
        <v>3</v>
      </c>
      <c r="F1024" s="100" t="s">
        <v>433</v>
      </c>
    </row>
    <row r="1025" spans="1:6">
      <c r="A1025" s="100">
        <v>5</v>
      </c>
      <c r="B1025" s="100">
        <v>1</v>
      </c>
      <c r="C1025" s="100">
        <v>5</v>
      </c>
      <c r="D1025" s="100" t="str">
        <f t="shared" si="42"/>
        <v>15</v>
      </c>
      <c r="E1025" s="100">
        <v>3</v>
      </c>
      <c r="F1025" s="100" t="s">
        <v>433</v>
      </c>
    </row>
    <row r="1026" spans="1:6">
      <c r="A1026" s="100">
        <v>6</v>
      </c>
      <c r="B1026" s="100">
        <v>2</v>
      </c>
      <c r="C1026" s="100">
        <v>1</v>
      </c>
      <c r="D1026" s="100" t="str">
        <f t="shared" si="42"/>
        <v>21</v>
      </c>
      <c r="E1026" s="100">
        <v>1</v>
      </c>
      <c r="F1026" s="100" t="s">
        <v>433</v>
      </c>
    </row>
    <row r="1027" spans="1:6">
      <c r="A1027" s="100">
        <v>7</v>
      </c>
      <c r="B1027" s="100">
        <v>2</v>
      </c>
      <c r="C1027" s="100">
        <v>2</v>
      </c>
      <c r="D1027" s="100" t="str">
        <f t="shared" si="42"/>
        <v>22</v>
      </c>
      <c r="E1027" s="100">
        <v>2</v>
      </c>
      <c r="F1027" s="100" t="s">
        <v>433</v>
      </c>
    </row>
    <row r="1028" spans="1:6">
      <c r="A1028" s="100">
        <v>8</v>
      </c>
      <c r="B1028" s="100">
        <v>2</v>
      </c>
      <c r="C1028" s="100">
        <v>3</v>
      </c>
      <c r="D1028" s="100" t="str">
        <f t="shared" si="42"/>
        <v>23</v>
      </c>
      <c r="E1028" s="100">
        <v>3</v>
      </c>
      <c r="F1028" s="100" t="s">
        <v>433</v>
      </c>
    </row>
    <row r="1029" spans="1:6">
      <c r="A1029" s="100">
        <v>9</v>
      </c>
      <c r="B1029" s="100">
        <v>2</v>
      </c>
      <c r="C1029" s="100">
        <v>4</v>
      </c>
      <c r="D1029" s="100" t="str">
        <f t="shared" si="42"/>
        <v>24</v>
      </c>
      <c r="E1029" s="100">
        <v>3</v>
      </c>
      <c r="F1029" s="100" t="s">
        <v>433</v>
      </c>
    </row>
    <row r="1030" spans="1:6">
      <c r="A1030" s="100">
        <v>10</v>
      </c>
      <c r="B1030" s="100">
        <v>2</v>
      </c>
      <c r="C1030" s="100">
        <v>5</v>
      </c>
      <c r="D1030" s="100" t="str">
        <f t="shared" si="42"/>
        <v>25</v>
      </c>
      <c r="E1030" s="100">
        <v>4</v>
      </c>
      <c r="F1030" s="100" t="s">
        <v>433</v>
      </c>
    </row>
    <row r="1031" spans="1:6">
      <c r="A1031" s="100">
        <v>11</v>
      </c>
      <c r="B1031" s="100">
        <v>3</v>
      </c>
      <c r="C1031" s="100">
        <v>1</v>
      </c>
      <c r="D1031" s="100" t="str">
        <f t="shared" si="42"/>
        <v>31</v>
      </c>
      <c r="E1031" s="100">
        <v>2</v>
      </c>
      <c r="F1031" s="100" t="s">
        <v>433</v>
      </c>
    </row>
    <row r="1032" spans="1:6">
      <c r="A1032" s="100">
        <v>12</v>
      </c>
      <c r="B1032" s="100">
        <v>3</v>
      </c>
      <c r="C1032" s="100">
        <v>2</v>
      </c>
      <c r="D1032" s="100" t="str">
        <f t="shared" si="42"/>
        <v>32</v>
      </c>
      <c r="E1032" s="100">
        <v>3</v>
      </c>
      <c r="F1032" s="100" t="s">
        <v>433</v>
      </c>
    </row>
    <row r="1033" spans="1:6">
      <c r="A1033" s="100">
        <v>13</v>
      </c>
      <c r="B1033" s="100">
        <v>3</v>
      </c>
      <c r="C1033" s="100">
        <v>3</v>
      </c>
      <c r="D1033" s="100" t="str">
        <f t="shared" si="42"/>
        <v>33</v>
      </c>
      <c r="E1033" s="100">
        <v>4</v>
      </c>
      <c r="F1033" s="100" t="s">
        <v>432</v>
      </c>
    </row>
    <row r="1034" spans="1:6">
      <c r="A1034" s="100">
        <v>14</v>
      </c>
      <c r="B1034" s="100">
        <v>3</v>
      </c>
      <c r="C1034" s="100">
        <v>4</v>
      </c>
      <c r="D1034" s="100" t="str">
        <f t="shared" si="42"/>
        <v>34</v>
      </c>
      <c r="E1034" s="100">
        <v>4</v>
      </c>
      <c r="F1034" s="100" t="s">
        <v>433</v>
      </c>
    </row>
    <row r="1035" spans="1:6">
      <c r="A1035" s="100">
        <v>15</v>
      </c>
      <c r="B1035" s="100">
        <v>3</v>
      </c>
      <c r="C1035" s="100">
        <v>5</v>
      </c>
      <c r="D1035" s="100" t="str">
        <f t="shared" si="42"/>
        <v>35</v>
      </c>
      <c r="E1035" s="100">
        <v>5</v>
      </c>
      <c r="F1035" s="100" t="s">
        <v>433</v>
      </c>
    </row>
    <row r="1036" spans="1:6">
      <c r="A1036" s="100">
        <v>16</v>
      </c>
      <c r="B1036" s="100">
        <v>4</v>
      </c>
      <c r="C1036" s="100">
        <v>1</v>
      </c>
      <c r="D1036" s="100" t="str">
        <f t="shared" si="42"/>
        <v>41</v>
      </c>
      <c r="E1036" s="100">
        <v>3</v>
      </c>
      <c r="F1036" s="100" t="s">
        <v>433</v>
      </c>
    </row>
    <row r="1037" spans="1:6">
      <c r="A1037" s="100">
        <v>17</v>
      </c>
      <c r="B1037" s="100">
        <v>4</v>
      </c>
      <c r="C1037" s="100">
        <v>2</v>
      </c>
      <c r="D1037" s="100" t="str">
        <f t="shared" si="42"/>
        <v>42</v>
      </c>
      <c r="E1037" s="100">
        <v>4</v>
      </c>
      <c r="F1037" s="100" t="s">
        <v>432</v>
      </c>
    </row>
    <row r="1038" spans="1:6">
      <c r="A1038" s="100">
        <v>18</v>
      </c>
      <c r="B1038" s="100">
        <v>4</v>
      </c>
      <c r="C1038" s="100">
        <v>3</v>
      </c>
      <c r="D1038" s="100" t="str">
        <f t="shared" si="42"/>
        <v>43</v>
      </c>
      <c r="E1038" s="100">
        <v>4</v>
      </c>
      <c r="F1038" s="100" t="s">
        <v>433</v>
      </c>
    </row>
    <row r="1039" spans="1:6">
      <c r="A1039" s="100">
        <v>19</v>
      </c>
      <c r="B1039" s="100">
        <v>4</v>
      </c>
      <c r="C1039" s="100">
        <v>4</v>
      </c>
      <c r="D1039" s="100" t="str">
        <f t="shared" si="42"/>
        <v>44</v>
      </c>
      <c r="E1039" s="100">
        <v>4</v>
      </c>
      <c r="F1039" s="100" t="s">
        <v>432</v>
      </c>
    </row>
    <row r="1040" spans="1:6">
      <c r="A1040" s="100">
        <v>20</v>
      </c>
      <c r="B1040" s="100">
        <v>4</v>
      </c>
      <c r="C1040" s="100">
        <v>5</v>
      </c>
      <c r="D1040" s="100" t="str">
        <f t="shared" si="42"/>
        <v>45</v>
      </c>
      <c r="E1040" s="100">
        <v>5</v>
      </c>
      <c r="F1040" s="100" t="s">
        <v>433</v>
      </c>
    </row>
    <row r="1041" spans="1:6">
      <c r="A1041" s="100">
        <v>21</v>
      </c>
      <c r="B1041" s="100">
        <v>5</v>
      </c>
      <c r="C1041" s="100">
        <v>1</v>
      </c>
      <c r="D1041" s="100" t="str">
        <f t="shared" si="42"/>
        <v>51</v>
      </c>
      <c r="E1041" s="100">
        <v>3</v>
      </c>
      <c r="F1041" s="100" t="s">
        <v>433</v>
      </c>
    </row>
    <row r="1042" spans="1:6">
      <c r="A1042" s="100">
        <v>22</v>
      </c>
      <c r="B1042" s="100">
        <v>5</v>
      </c>
      <c r="C1042" s="100">
        <v>2</v>
      </c>
      <c r="D1042" s="100" t="str">
        <f t="shared" si="42"/>
        <v>52</v>
      </c>
      <c r="E1042" s="100">
        <v>4</v>
      </c>
      <c r="F1042" s="100" t="s">
        <v>433</v>
      </c>
    </row>
    <row r="1043" spans="1:6">
      <c r="A1043" s="100">
        <v>23</v>
      </c>
      <c r="B1043" s="100">
        <v>5</v>
      </c>
      <c r="C1043" s="100">
        <v>3</v>
      </c>
      <c r="D1043" s="100" t="str">
        <f t="shared" si="42"/>
        <v>53</v>
      </c>
      <c r="E1043" s="100">
        <v>4</v>
      </c>
      <c r="F1043" s="100" t="s">
        <v>432</v>
      </c>
    </row>
    <row r="1044" spans="1:6">
      <c r="A1044" s="100">
        <v>24</v>
      </c>
      <c r="B1044" s="100">
        <v>5</v>
      </c>
      <c r="C1044" s="100">
        <v>4</v>
      </c>
      <c r="D1044" s="100" t="str">
        <f t="shared" si="42"/>
        <v>54</v>
      </c>
      <c r="E1044" s="100">
        <v>5</v>
      </c>
      <c r="F1044" s="100" t="s">
        <v>433</v>
      </c>
    </row>
    <row r="1045" spans="1:6">
      <c r="A1045" s="100">
        <v>25</v>
      </c>
      <c r="B1045" s="100">
        <v>5</v>
      </c>
      <c r="C1045" s="100">
        <v>5</v>
      </c>
      <c r="D1045" s="100" t="str">
        <f t="shared" si="42"/>
        <v>55</v>
      </c>
      <c r="E1045" s="100">
        <v>6</v>
      </c>
      <c r="F1045" s="100" t="s">
        <v>433</v>
      </c>
    </row>
    <row r="1046" spans="1:6">
      <c r="A1046" s="100">
        <v>26</v>
      </c>
      <c r="B1046" s="100">
        <v>6</v>
      </c>
      <c r="C1046" s="100">
        <v>1</v>
      </c>
      <c r="D1046" s="100" t="str">
        <f t="shared" si="42"/>
        <v>61</v>
      </c>
      <c r="E1046" s="100">
        <v>4</v>
      </c>
      <c r="F1046" s="100" t="s">
        <v>433</v>
      </c>
    </row>
    <row r="1047" spans="1:6">
      <c r="A1047" s="100">
        <v>27</v>
      </c>
      <c r="B1047" s="100">
        <v>6</v>
      </c>
      <c r="C1047" s="100">
        <v>2</v>
      </c>
      <c r="D1047" s="100" t="str">
        <f t="shared" si="42"/>
        <v>62</v>
      </c>
      <c r="E1047" s="100">
        <v>5</v>
      </c>
      <c r="F1047" s="100" t="s">
        <v>433</v>
      </c>
    </row>
    <row r="1048" spans="1:6">
      <c r="A1048" s="100">
        <v>28</v>
      </c>
      <c r="B1048" s="100">
        <v>6</v>
      </c>
      <c r="C1048" s="100">
        <v>3</v>
      </c>
      <c r="D1048" s="100" t="str">
        <f t="shared" si="42"/>
        <v>63</v>
      </c>
      <c r="E1048" s="100">
        <v>5</v>
      </c>
      <c r="F1048" s="100" t="s">
        <v>433</v>
      </c>
    </row>
    <row r="1049" spans="1:6">
      <c r="A1049" s="100">
        <v>29</v>
      </c>
      <c r="B1049" s="100">
        <v>6</v>
      </c>
      <c r="C1049" s="100">
        <v>4</v>
      </c>
      <c r="D1049" s="100" t="str">
        <f t="shared" si="42"/>
        <v>64</v>
      </c>
      <c r="E1049" s="100">
        <v>6</v>
      </c>
      <c r="F1049" s="100" t="s">
        <v>433</v>
      </c>
    </row>
    <row r="1050" spans="1:6">
      <c r="A1050" s="100">
        <v>30</v>
      </c>
      <c r="B1050" s="100">
        <v>6</v>
      </c>
      <c r="C1050" s="100">
        <v>5</v>
      </c>
      <c r="D1050" s="100" t="str">
        <f t="shared" si="42"/>
        <v>65</v>
      </c>
      <c r="E1050" s="100">
        <v>7</v>
      </c>
      <c r="F1050" s="100" t="s">
        <v>433</v>
      </c>
    </row>
    <row r="1051" spans="1:6">
      <c r="A1051" s="100">
        <v>31</v>
      </c>
      <c r="B1051" s="100">
        <v>7</v>
      </c>
      <c r="C1051" s="100">
        <v>1</v>
      </c>
      <c r="D1051" s="100" t="str">
        <f t="shared" si="42"/>
        <v>71</v>
      </c>
      <c r="E1051" s="100">
        <v>5</v>
      </c>
      <c r="F1051" s="100" t="s">
        <v>433</v>
      </c>
    </row>
    <row r="1052" spans="1:6">
      <c r="A1052" s="100">
        <v>32</v>
      </c>
      <c r="B1052" s="100">
        <v>7</v>
      </c>
      <c r="C1052" s="100">
        <v>2</v>
      </c>
      <c r="D1052" s="100" t="str">
        <f t="shared" si="42"/>
        <v>72</v>
      </c>
      <c r="E1052" s="100">
        <v>5</v>
      </c>
      <c r="F1052" s="100" t="s">
        <v>433</v>
      </c>
    </row>
    <row r="1053" spans="1:6">
      <c r="A1053" s="100">
        <v>33</v>
      </c>
      <c r="B1053" s="100">
        <v>7</v>
      </c>
      <c r="C1053" s="100">
        <v>3</v>
      </c>
      <c r="D1053" s="100" t="str">
        <f t="shared" si="42"/>
        <v>73</v>
      </c>
      <c r="E1053" s="100">
        <v>6</v>
      </c>
      <c r="F1053" s="100" t="s">
        <v>433</v>
      </c>
    </row>
    <row r="1054" spans="1:6">
      <c r="A1054" s="100">
        <v>34</v>
      </c>
      <c r="B1054" s="100">
        <v>7</v>
      </c>
      <c r="C1054" s="100">
        <v>4</v>
      </c>
      <c r="D1054" s="100" t="str">
        <f t="shared" si="42"/>
        <v>74</v>
      </c>
      <c r="E1054" s="100">
        <v>7</v>
      </c>
      <c r="F1054" s="100" t="s">
        <v>432</v>
      </c>
    </row>
    <row r="1055" spans="1:6">
      <c r="A1055" s="100">
        <v>35</v>
      </c>
      <c r="B1055" s="100">
        <v>7</v>
      </c>
      <c r="C1055" s="100">
        <v>5</v>
      </c>
      <c r="D1055" s="100" t="str">
        <f t="shared" si="42"/>
        <v>75</v>
      </c>
      <c r="E1055" s="100">
        <v>7</v>
      </c>
      <c r="F1055" s="100" t="s">
        <v>432</v>
      </c>
    </row>
  </sheetData>
  <sheetProtection sheet="1" objects="1" scenarios="1" selectLockedCells="1"/>
  <pageMargins left="0.78740157499999996" right="0.78740157499999996" top="0.984251969" bottom="0.984251969"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enableFormatConditionsCalculation="0"/>
  <dimension ref="A1:X22"/>
  <sheetViews>
    <sheetView topLeftCell="N1" workbookViewId="0">
      <selection activeCell="X19" sqref="X19:X22"/>
    </sheetView>
  </sheetViews>
  <sheetFormatPr baseColWidth="10" defaultColWidth="10.83203125" defaultRowHeight="15" x14ac:dyDescent="0"/>
  <cols>
    <col min="1" max="1" width="11.6640625" style="100" bestFit="1" customWidth="1"/>
    <col min="2" max="4" width="10.83203125" style="100"/>
    <col min="5" max="5" width="12.33203125" style="100" customWidth="1"/>
    <col min="6" max="16384" width="10.83203125" style="100"/>
  </cols>
  <sheetData>
    <row r="1" spans="1:15">
      <c r="A1" s="542" t="s">
        <v>677</v>
      </c>
      <c r="B1" s="542"/>
      <c r="C1" s="542"/>
      <c r="D1" s="542"/>
      <c r="E1" s="542"/>
      <c r="F1" s="542"/>
      <c r="G1" s="542"/>
      <c r="H1" s="542"/>
      <c r="I1" s="542"/>
      <c r="J1" s="542"/>
      <c r="K1" s="542"/>
      <c r="L1" s="542"/>
      <c r="M1" s="542"/>
      <c r="N1" s="542"/>
      <c r="O1" s="542"/>
    </row>
    <row r="2" spans="1:15">
      <c r="A2" s="178" t="s">
        <v>17</v>
      </c>
      <c r="B2" s="178" t="s">
        <v>306</v>
      </c>
      <c r="C2" s="178" t="s">
        <v>307</v>
      </c>
      <c r="D2" s="178" t="s">
        <v>308</v>
      </c>
      <c r="E2" s="178" t="s">
        <v>309</v>
      </c>
      <c r="F2" s="178" t="s">
        <v>310</v>
      </c>
      <c r="G2" s="178" t="s">
        <v>311</v>
      </c>
      <c r="H2" s="178" t="s">
        <v>312</v>
      </c>
      <c r="I2" s="178" t="s">
        <v>313</v>
      </c>
      <c r="J2" s="178" t="s">
        <v>314</v>
      </c>
      <c r="K2" s="178" t="s">
        <v>315</v>
      </c>
      <c r="L2" s="178" t="s">
        <v>316</v>
      </c>
      <c r="M2" s="178" t="s">
        <v>317</v>
      </c>
      <c r="N2" s="178" t="s">
        <v>318</v>
      </c>
      <c r="O2" s="178" t="s">
        <v>447</v>
      </c>
    </row>
    <row r="3" spans="1:15">
      <c r="A3" s="175" t="s">
        <v>319</v>
      </c>
      <c r="B3" s="175" t="s">
        <v>7</v>
      </c>
      <c r="C3" s="175" t="s">
        <v>320</v>
      </c>
      <c r="D3" s="175" t="s">
        <v>213</v>
      </c>
      <c r="E3" s="175" t="s">
        <v>319</v>
      </c>
      <c r="F3" s="175" t="s">
        <v>319</v>
      </c>
      <c r="G3" s="175" t="s">
        <v>319</v>
      </c>
      <c r="H3" s="175" t="s">
        <v>7</v>
      </c>
      <c r="I3" s="175" t="s">
        <v>9</v>
      </c>
      <c r="J3" s="175" t="s">
        <v>9</v>
      </c>
      <c r="K3" s="175" t="s">
        <v>28</v>
      </c>
      <c r="L3" s="175" t="s">
        <v>319</v>
      </c>
      <c r="M3" s="175" t="s">
        <v>7</v>
      </c>
      <c r="N3" s="175" t="s">
        <v>319</v>
      </c>
      <c r="O3" s="175" t="s">
        <v>7</v>
      </c>
    </row>
    <row r="4" spans="1:15">
      <c r="A4" s="175" t="s">
        <v>7</v>
      </c>
      <c r="B4" s="175" t="s">
        <v>8</v>
      </c>
      <c r="C4" s="175" t="s">
        <v>9</v>
      </c>
      <c r="D4" s="175" t="s">
        <v>212</v>
      </c>
      <c r="E4" s="175" t="s">
        <v>7</v>
      </c>
      <c r="F4" s="175" t="s">
        <v>7</v>
      </c>
      <c r="G4" s="175" t="s">
        <v>7</v>
      </c>
      <c r="H4" s="175" t="s">
        <v>8</v>
      </c>
      <c r="I4" s="175" t="s">
        <v>8</v>
      </c>
      <c r="J4" s="175" t="s">
        <v>8</v>
      </c>
      <c r="K4" s="175" t="s">
        <v>27</v>
      </c>
      <c r="L4" s="175" t="s">
        <v>7</v>
      </c>
      <c r="M4" s="175" t="s">
        <v>8</v>
      </c>
      <c r="N4" s="175" t="s">
        <v>7</v>
      </c>
      <c r="O4" s="175" t="s">
        <v>8</v>
      </c>
    </row>
    <row r="5" spans="1:15">
      <c r="A5" s="175" t="s">
        <v>212</v>
      </c>
      <c r="B5" s="175" t="s">
        <v>9</v>
      </c>
      <c r="C5" s="175" t="s">
        <v>7</v>
      </c>
      <c r="D5" s="175" t="s">
        <v>7</v>
      </c>
      <c r="E5" s="179" t="s">
        <v>9</v>
      </c>
      <c r="F5" s="179" t="s">
        <v>9</v>
      </c>
      <c r="G5" s="179" t="s">
        <v>9</v>
      </c>
      <c r="H5" s="179" t="s">
        <v>9</v>
      </c>
      <c r="I5" s="179" t="s">
        <v>7</v>
      </c>
      <c r="J5" s="179" t="s">
        <v>7</v>
      </c>
      <c r="K5" s="175" t="s">
        <v>433</v>
      </c>
      <c r="L5" s="179" t="s">
        <v>9</v>
      </c>
      <c r="M5" s="179" t="s">
        <v>9</v>
      </c>
      <c r="N5" s="179" t="s">
        <v>213</v>
      </c>
      <c r="O5" s="175" t="s">
        <v>9</v>
      </c>
    </row>
    <row r="6" spans="1:15">
      <c r="A6" s="175" t="s">
        <v>213</v>
      </c>
      <c r="B6" s="175" t="s">
        <v>433</v>
      </c>
      <c r="C6" s="175" t="s">
        <v>319</v>
      </c>
      <c r="D6" s="175" t="s">
        <v>433</v>
      </c>
      <c r="E6" s="179" t="s">
        <v>320</v>
      </c>
      <c r="F6" s="179" t="s">
        <v>320</v>
      </c>
      <c r="G6" s="179" t="s">
        <v>320</v>
      </c>
      <c r="H6" s="175" t="s">
        <v>433</v>
      </c>
      <c r="I6" s="175" t="s">
        <v>433</v>
      </c>
      <c r="J6" s="175" t="s">
        <v>433</v>
      </c>
      <c r="K6" s="175" t="s">
        <v>433</v>
      </c>
      <c r="L6" s="179" t="s">
        <v>320</v>
      </c>
      <c r="M6" s="175" t="s">
        <v>433</v>
      </c>
      <c r="N6" s="179" t="s">
        <v>321</v>
      </c>
      <c r="O6" s="175" t="s">
        <v>433</v>
      </c>
    </row>
    <row r="7" spans="1:15">
      <c r="A7" s="175" t="s">
        <v>321</v>
      </c>
      <c r="B7" s="175" t="s">
        <v>433</v>
      </c>
      <c r="C7" s="175" t="s">
        <v>433</v>
      </c>
      <c r="D7" s="175" t="s">
        <v>433</v>
      </c>
      <c r="E7" s="175" t="s">
        <v>433</v>
      </c>
      <c r="F7" s="175" t="s">
        <v>433</v>
      </c>
      <c r="G7" s="175" t="s">
        <v>433</v>
      </c>
      <c r="H7" s="175" t="s">
        <v>433</v>
      </c>
      <c r="I7" s="175" t="s">
        <v>433</v>
      </c>
      <c r="J7" s="175" t="s">
        <v>433</v>
      </c>
      <c r="K7" s="175" t="s">
        <v>433</v>
      </c>
      <c r="L7" s="175" t="s">
        <v>433</v>
      </c>
      <c r="M7" s="175" t="s">
        <v>433</v>
      </c>
      <c r="N7" s="175" t="s">
        <v>433</v>
      </c>
      <c r="O7" s="175" t="s">
        <v>433</v>
      </c>
    </row>
    <row r="9" spans="1:15">
      <c r="A9" s="543" t="s">
        <v>678</v>
      </c>
      <c r="B9" s="544"/>
      <c r="C9" s="544"/>
      <c r="D9" s="544"/>
      <c r="E9" s="544"/>
      <c r="F9" s="544"/>
      <c r="G9" s="544"/>
      <c r="H9" s="544"/>
      <c r="I9" s="544"/>
      <c r="J9" s="544"/>
      <c r="K9" s="545"/>
    </row>
    <row r="10" spans="1:15">
      <c r="A10" s="180" t="s">
        <v>322</v>
      </c>
      <c r="B10" s="180" t="s">
        <v>323</v>
      </c>
      <c r="C10" s="180" t="s">
        <v>324</v>
      </c>
      <c r="D10" s="180" t="s">
        <v>325</v>
      </c>
      <c r="E10" s="180" t="s">
        <v>326</v>
      </c>
      <c r="F10" s="180" t="s">
        <v>6</v>
      </c>
      <c r="G10" s="180" t="s">
        <v>339</v>
      </c>
      <c r="H10" s="180" t="s">
        <v>341</v>
      </c>
      <c r="I10" s="180" t="s">
        <v>15</v>
      </c>
      <c r="J10" s="180" t="s">
        <v>340</v>
      </c>
      <c r="K10" s="180" t="s">
        <v>16</v>
      </c>
    </row>
    <row r="11" spans="1:15">
      <c r="A11" s="175" t="s">
        <v>213</v>
      </c>
      <c r="B11" s="175" t="s">
        <v>213</v>
      </c>
      <c r="C11" s="175" t="s">
        <v>9</v>
      </c>
      <c r="D11" s="175" t="s">
        <v>9</v>
      </c>
      <c r="E11" s="175" t="s">
        <v>301</v>
      </c>
      <c r="F11" s="175" t="s">
        <v>10</v>
      </c>
      <c r="G11" s="175" t="s">
        <v>28</v>
      </c>
      <c r="H11" s="175" t="s">
        <v>7</v>
      </c>
      <c r="I11" s="175" t="s">
        <v>28</v>
      </c>
      <c r="J11" s="175" t="s">
        <v>20</v>
      </c>
      <c r="K11" s="175" t="s">
        <v>23</v>
      </c>
    </row>
    <row r="12" spans="1:15">
      <c r="A12" s="175" t="s">
        <v>212</v>
      </c>
      <c r="B12" s="175" t="s">
        <v>212</v>
      </c>
      <c r="C12" s="175" t="s">
        <v>8</v>
      </c>
      <c r="D12" s="175" t="s">
        <v>8</v>
      </c>
      <c r="E12" s="175" t="s">
        <v>327</v>
      </c>
      <c r="F12" s="175" t="s">
        <v>11</v>
      </c>
      <c r="G12" s="175" t="s">
        <v>27</v>
      </c>
      <c r="H12" s="175" t="s">
        <v>8</v>
      </c>
      <c r="I12" s="175" t="s">
        <v>27</v>
      </c>
      <c r="J12" s="175" t="s">
        <v>21</v>
      </c>
      <c r="K12" s="175" t="s">
        <v>24</v>
      </c>
    </row>
    <row r="13" spans="1:15">
      <c r="A13" s="175" t="s">
        <v>7</v>
      </c>
      <c r="B13" s="175" t="s">
        <v>7</v>
      </c>
      <c r="C13" s="175" t="s">
        <v>7</v>
      </c>
      <c r="D13" s="179" t="s">
        <v>7</v>
      </c>
      <c r="E13" s="175" t="s">
        <v>302</v>
      </c>
      <c r="F13" s="179" t="s">
        <v>96</v>
      </c>
      <c r="G13" s="175" t="s">
        <v>433</v>
      </c>
      <c r="H13" s="175" t="s">
        <v>9</v>
      </c>
      <c r="I13" s="175" t="s">
        <v>433</v>
      </c>
      <c r="J13" s="175" t="s">
        <v>22</v>
      </c>
      <c r="K13" s="175" t="s">
        <v>433</v>
      </c>
    </row>
    <row r="14" spans="1:15">
      <c r="A14" s="175" t="s">
        <v>433</v>
      </c>
      <c r="B14" s="175" t="s">
        <v>433</v>
      </c>
      <c r="C14" s="175" t="s">
        <v>433</v>
      </c>
      <c r="D14" s="179" t="s">
        <v>433</v>
      </c>
      <c r="E14" s="175" t="s">
        <v>433</v>
      </c>
      <c r="F14" s="179" t="s">
        <v>95</v>
      </c>
      <c r="G14" s="175" t="s">
        <v>433</v>
      </c>
      <c r="H14" s="175" t="s">
        <v>433</v>
      </c>
      <c r="I14" s="175" t="s">
        <v>433</v>
      </c>
      <c r="J14" s="175" t="s">
        <v>433</v>
      </c>
      <c r="K14" s="175" t="s">
        <v>433</v>
      </c>
    </row>
    <row r="17" spans="1:24">
      <c r="A17" s="546" t="s">
        <v>679</v>
      </c>
      <c r="B17" s="547"/>
      <c r="C17" s="547"/>
      <c r="D17" s="547"/>
      <c r="E17" s="547"/>
      <c r="F17" s="547"/>
      <c r="G17" s="547"/>
      <c r="H17" s="547"/>
      <c r="I17" s="547"/>
      <c r="J17" s="547"/>
      <c r="K17" s="547"/>
      <c r="L17" s="547"/>
      <c r="M17" s="547"/>
      <c r="N17" s="547"/>
      <c r="O17" s="547"/>
      <c r="P17" s="547"/>
      <c r="Q17" s="547"/>
      <c r="R17" s="547"/>
      <c r="S17" s="547"/>
      <c r="T17" s="547"/>
      <c r="U17" s="547"/>
      <c r="V17" s="547"/>
      <c r="W17" s="547"/>
      <c r="X17" s="548"/>
    </row>
    <row r="18" spans="1:24">
      <c r="A18" s="181" t="s">
        <v>329</v>
      </c>
      <c r="B18" s="181" t="s">
        <v>29</v>
      </c>
      <c r="C18" s="181" t="s">
        <v>31</v>
      </c>
      <c r="D18" s="181" t="s">
        <v>330</v>
      </c>
      <c r="E18" s="181" t="s">
        <v>30</v>
      </c>
      <c r="F18" s="181" t="s">
        <v>331</v>
      </c>
      <c r="G18" s="181" t="s">
        <v>332</v>
      </c>
      <c r="H18" s="181" t="s">
        <v>333</v>
      </c>
      <c r="I18" s="181" t="s">
        <v>334</v>
      </c>
      <c r="J18" s="181" t="s">
        <v>34</v>
      </c>
      <c r="K18" s="181" t="s">
        <v>35</v>
      </c>
      <c r="L18" s="181" t="s">
        <v>381</v>
      </c>
      <c r="M18" s="181" t="s">
        <v>384</v>
      </c>
      <c r="N18" s="181" t="s">
        <v>387</v>
      </c>
      <c r="O18" s="181" t="s">
        <v>388</v>
      </c>
      <c r="P18" s="181" t="s">
        <v>390</v>
      </c>
      <c r="Q18" s="181" t="s">
        <v>36</v>
      </c>
      <c r="R18" s="181" t="s">
        <v>391</v>
      </c>
      <c r="S18" s="181" t="s">
        <v>38</v>
      </c>
      <c r="T18" s="181" t="s">
        <v>392</v>
      </c>
      <c r="U18" s="181" t="s">
        <v>32</v>
      </c>
      <c r="V18" s="181" t="s">
        <v>394</v>
      </c>
      <c r="W18" s="181" t="s">
        <v>395</v>
      </c>
      <c r="X18" s="181" t="s">
        <v>631</v>
      </c>
    </row>
    <row r="19" spans="1:24">
      <c r="A19" s="175" t="s">
        <v>28</v>
      </c>
      <c r="B19" s="175" t="s">
        <v>7</v>
      </c>
      <c r="C19" s="175" t="s">
        <v>7</v>
      </c>
      <c r="D19" s="175" t="s">
        <v>7</v>
      </c>
      <c r="E19" s="175" t="s">
        <v>7</v>
      </c>
      <c r="F19" s="175" t="s">
        <v>27</v>
      </c>
      <c r="G19" s="175" t="s">
        <v>7</v>
      </c>
      <c r="H19" s="175" t="s">
        <v>9</v>
      </c>
      <c r="I19" s="175" t="s">
        <v>301</v>
      </c>
      <c r="J19" s="175" t="s">
        <v>7</v>
      </c>
      <c r="K19" s="175" t="s">
        <v>7</v>
      </c>
      <c r="L19" s="175" t="s">
        <v>382</v>
      </c>
      <c r="M19" s="175" t="s">
        <v>385</v>
      </c>
      <c r="N19" s="175" t="s">
        <v>28</v>
      </c>
      <c r="O19" s="175" t="s">
        <v>389</v>
      </c>
      <c r="P19" s="175" t="s">
        <v>28</v>
      </c>
      <c r="Q19" s="175" t="s">
        <v>7</v>
      </c>
      <c r="R19" s="175" t="s">
        <v>28</v>
      </c>
      <c r="S19" s="175" t="s">
        <v>40</v>
      </c>
      <c r="T19" s="175" t="s">
        <v>319</v>
      </c>
      <c r="U19" s="175" t="s">
        <v>28</v>
      </c>
      <c r="V19" s="175" t="s">
        <v>27</v>
      </c>
      <c r="W19" s="175" t="s">
        <v>27</v>
      </c>
      <c r="X19" s="175" t="s">
        <v>7</v>
      </c>
    </row>
    <row r="20" spans="1:24">
      <c r="A20" s="175" t="s">
        <v>27</v>
      </c>
      <c r="B20" s="175" t="s">
        <v>8</v>
      </c>
      <c r="C20" s="175" t="s">
        <v>8</v>
      </c>
      <c r="D20" s="175" t="s">
        <v>8</v>
      </c>
      <c r="E20" s="175" t="s">
        <v>8</v>
      </c>
      <c r="F20" s="175" t="s">
        <v>28</v>
      </c>
      <c r="G20" s="175" t="s">
        <v>8</v>
      </c>
      <c r="H20" s="175" t="s">
        <v>8</v>
      </c>
      <c r="I20" s="175" t="s">
        <v>335</v>
      </c>
      <c r="J20" s="175" t="s">
        <v>8</v>
      </c>
      <c r="K20" s="175" t="s">
        <v>8</v>
      </c>
      <c r="L20" s="175" t="s">
        <v>328</v>
      </c>
      <c r="M20" s="175" t="s">
        <v>21</v>
      </c>
      <c r="N20" s="175" t="s">
        <v>27</v>
      </c>
      <c r="O20" s="175" t="s">
        <v>328</v>
      </c>
      <c r="P20" s="175" t="s">
        <v>27</v>
      </c>
      <c r="Q20" s="175" t="s">
        <v>8</v>
      </c>
      <c r="R20" s="175" t="s">
        <v>27</v>
      </c>
      <c r="S20" s="175" t="s">
        <v>8</v>
      </c>
      <c r="T20" s="175" t="s">
        <v>7</v>
      </c>
      <c r="U20" s="175" t="s">
        <v>27</v>
      </c>
      <c r="V20" s="175" t="s">
        <v>28</v>
      </c>
      <c r="W20" s="175" t="s">
        <v>28</v>
      </c>
      <c r="X20" s="175" t="s">
        <v>212</v>
      </c>
    </row>
    <row r="21" spans="1:24">
      <c r="A21" s="175" t="s">
        <v>433</v>
      </c>
      <c r="B21" s="175" t="s">
        <v>9</v>
      </c>
      <c r="C21" s="175" t="s">
        <v>9</v>
      </c>
      <c r="D21" s="175" t="s">
        <v>9</v>
      </c>
      <c r="E21" s="175" t="s">
        <v>9</v>
      </c>
      <c r="F21" s="175" t="s">
        <v>433</v>
      </c>
      <c r="G21" s="175" t="s">
        <v>9</v>
      </c>
      <c r="H21" s="179" t="s">
        <v>7</v>
      </c>
      <c r="I21" s="175" t="s">
        <v>302</v>
      </c>
      <c r="J21" s="175" t="s">
        <v>9</v>
      </c>
      <c r="K21" s="175" t="s">
        <v>9</v>
      </c>
      <c r="L21" s="175" t="s">
        <v>383</v>
      </c>
      <c r="M21" s="175" t="s">
        <v>386</v>
      </c>
      <c r="N21" s="175" t="s">
        <v>433</v>
      </c>
      <c r="O21" s="175" t="s">
        <v>12</v>
      </c>
      <c r="P21" s="175" t="s">
        <v>433</v>
      </c>
      <c r="Q21" s="175" t="s">
        <v>9</v>
      </c>
      <c r="R21" s="175" t="s">
        <v>433</v>
      </c>
      <c r="S21" s="175" t="s">
        <v>39</v>
      </c>
      <c r="T21" s="175" t="s">
        <v>8</v>
      </c>
      <c r="U21" s="175" t="s">
        <v>433</v>
      </c>
      <c r="V21" s="175" t="s">
        <v>433</v>
      </c>
      <c r="W21" s="175" t="s">
        <v>433</v>
      </c>
      <c r="X21" s="175" t="s">
        <v>213</v>
      </c>
    </row>
    <row r="22" spans="1:24">
      <c r="A22" s="175" t="s">
        <v>433</v>
      </c>
      <c r="B22" s="175" t="s">
        <v>433</v>
      </c>
      <c r="C22" s="175" t="s">
        <v>433</v>
      </c>
      <c r="D22" s="175" t="s">
        <v>433</v>
      </c>
      <c r="E22" s="175" t="s">
        <v>433</v>
      </c>
      <c r="F22" s="175" t="s">
        <v>433</v>
      </c>
      <c r="G22" s="175" t="s">
        <v>433</v>
      </c>
      <c r="H22" s="175" t="s">
        <v>433</v>
      </c>
      <c r="I22" s="175" t="s">
        <v>433</v>
      </c>
      <c r="J22" s="175" t="s">
        <v>433</v>
      </c>
      <c r="K22" s="175" t="s">
        <v>433</v>
      </c>
      <c r="L22" s="175" t="s">
        <v>433</v>
      </c>
      <c r="M22" s="175" t="s">
        <v>433</v>
      </c>
      <c r="N22" s="175" t="s">
        <v>433</v>
      </c>
      <c r="O22" s="175" t="s">
        <v>433</v>
      </c>
      <c r="P22" s="175" t="s">
        <v>433</v>
      </c>
      <c r="Q22" s="175" t="s">
        <v>433</v>
      </c>
      <c r="R22" s="175" t="s">
        <v>433</v>
      </c>
      <c r="S22" s="175" t="s">
        <v>433</v>
      </c>
      <c r="T22" s="175" t="s">
        <v>9</v>
      </c>
      <c r="U22" s="175" t="s">
        <v>433</v>
      </c>
      <c r="V22" s="175" t="s">
        <v>433</v>
      </c>
      <c r="W22" s="175" t="s">
        <v>433</v>
      </c>
      <c r="X22" s="175" t="s">
        <v>797</v>
      </c>
    </row>
  </sheetData>
  <sheetProtection selectLockedCells="1"/>
  <mergeCells count="3">
    <mergeCell ref="A1:O1"/>
    <mergeCell ref="A9:K9"/>
    <mergeCell ref="A17:X17"/>
  </mergeCells>
  <pageMargins left="0.78740157499999996" right="0.78740157499999996" top="0.984251969" bottom="0.984251969"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enableFormatConditionsCalculation="0">
    <tabColor rgb="FFCCFFCC"/>
  </sheetPr>
  <dimension ref="A1:AB428"/>
  <sheetViews>
    <sheetView tabSelected="1" topLeftCell="A306" zoomScale="70" zoomScaleNormal="70" zoomScalePageLayoutView="70" workbookViewId="0">
      <selection activeCell="B341" sqref="B341"/>
    </sheetView>
  </sheetViews>
  <sheetFormatPr baseColWidth="10" defaultColWidth="10.83203125" defaultRowHeight="15" x14ac:dyDescent="0"/>
  <cols>
    <col min="1" max="1" width="22" style="256" customWidth="1"/>
    <col min="2" max="2" width="46.33203125" style="256" customWidth="1"/>
    <col min="3" max="24" width="15.33203125" style="256" customWidth="1"/>
    <col min="25" max="25" width="28.33203125" style="256" customWidth="1"/>
    <col min="26" max="26" width="13.5" style="256" customWidth="1"/>
    <col min="27" max="27" width="16" style="256" bestFit="1" customWidth="1"/>
    <col min="28" max="28" width="13.83203125" style="256" customWidth="1"/>
    <col min="29" max="16384" width="10.83203125" style="256"/>
  </cols>
  <sheetData>
    <row r="1" spans="1:28" ht="77" customHeight="1">
      <c r="A1" s="566" t="s">
        <v>911</v>
      </c>
      <c r="B1" s="566"/>
      <c r="C1" s="566"/>
      <c r="D1" s="566"/>
      <c r="E1" s="566"/>
      <c r="F1" s="566"/>
      <c r="G1" s="566"/>
      <c r="H1" s="566"/>
      <c r="I1" s="566"/>
      <c r="J1" s="566"/>
      <c r="K1" s="566"/>
      <c r="L1" s="566"/>
      <c r="M1" s="566"/>
      <c r="N1" s="314"/>
      <c r="O1" s="314"/>
      <c r="P1" s="315"/>
      <c r="Q1" s="315"/>
      <c r="R1" s="315"/>
      <c r="S1" s="315"/>
      <c r="T1" s="315"/>
      <c r="U1" s="315"/>
      <c r="V1" s="325"/>
      <c r="W1" s="327"/>
      <c r="X1" s="314"/>
    </row>
    <row r="2" spans="1:28" s="257" customFormat="1">
      <c r="B2" s="257">
        <v>1</v>
      </c>
      <c r="C2" s="257">
        <v>2</v>
      </c>
      <c r="D2" s="257">
        <v>3</v>
      </c>
      <c r="E2" s="257">
        <v>4</v>
      </c>
      <c r="F2" s="257">
        <v>5</v>
      </c>
      <c r="G2" s="257">
        <v>6</v>
      </c>
      <c r="H2" s="257">
        <v>7</v>
      </c>
      <c r="I2" s="257">
        <v>8</v>
      </c>
      <c r="J2" s="257">
        <v>9</v>
      </c>
      <c r="K2" s="257">
        <v>10</v>
      </c>
      <c r="L2" s="257">
        <v>11</v>
      </c>
      <c r="M2" s="257">
        <v>12</v>
      </c>
    </row>
    <row r="3" spans="1:28" ht="131" customHeight="1">
      <c r="A3" s="114" t="s">
        <v>630</v>
      </c>
      <c r="B3" s="411" t="s">
        <v>915</v>
      </c>
      <c r="C3" s="308" t="s">
        <v>795</v>
      </c>
      <c r="D3" s="308" t="s">
        <v>798</v>
      </c>
      <c r="E3" s="308" t="s">
        <v>793</v>
      </c>
      <c r="F3" s="308" t="s">
        <v>0</v>
      </c>
      <c r="G3" s="308" t="s">
        <v>934</v>
      </c>
      <c r="H3" s="308" t="s">
        <v>1</v>
      </c>
      <c r="I3" s="308" t="s">
        <v>230</v>
      </c>
      <c r="J3" s="308" t="s">
        <v>790</v>
      </c>
      <c r="K3" s="308" t="s">
        <v>800</v>
      </c>
      <c r="L3" s="308" t="s">
        <v>799</v>
      </c>
      <c r="M3" s="308" t="s">
        <v>791</v>
      </c>
      <c r="N3" s="308" t="s">
        <v>2</v>
      </c>
      <c r="O3" s="349" t="s">
        <v>295</v>
      </c>
      <c r="P3" s="384" t="s">
        <v>796</v>
      </c>
      <c r="Q3" s="308" t="s">
        <v>3</v>
      </c>
      <c r="R3" s="308" t="s">
        <v>794</v>
      </c>
      <c r="S3" s="309" t="s">
        <v>932</v>
      </c>
      <c r="T3" s="308" t="s">
        <v>422</v>
      </c>
      <c r="U3" s="308" t="s">
        <v>41</v>
      </c>
      <c r="V3" s="308" t="s">
        <v>933</v>
      </c>
      <c r="W3" s="401" t="s">
        <v>802</v>
      </c>
      <c r="X3" s="389"/>
      <c r="Z3" s="593" t="s">
        <v>676</v>
      </c>
      <c r="AA3" s="593"/>
      <c r="AB3" s="593"/>
    </row>
    <row r="4" spans="1:28" ht="18">
      <c r="A4" s="571" t="s">
        <v>398</v>
      </c>
      <c r="B4" s="108" t="s">
        <v>486</v>
      </c>
      <c r="C4" s="143" t="s">
        <v>385</v>
      </c>
      <c r="D4" s="143" t="s">
        <v>385</v>
      </c>
      <c r="E4" s="143" t="s">
        <v>386</v>
      </c>
      <c r="F4" s="142" t="s">
        <v>386</v>
      </c>
      <c r="G4" s="142" t="s">
        <v>386</v>
      </c>
      <c r="H4" s="143" t="s">
        <v>385</v>
      </c>
      <c r="I4" s="142" t="s">
        <v>21</v>
      </c>
      <c r="J4" s="142" t="s">
        <v>386</v>
      </c>
      <c r="K4" s="142" t="s">
        <v>386</v>
      </c>
      <c r="L4" s="143" t="s">
        <v>386</v>
      </c>
      <c r="M4" s="350" t="s">
        <v>21</v>
      </c>
      <c r="N4" s="144" t="s">
        <v>21</v>
      </c>
      <c r="O4" s="329" t="s">
        <v>21</v>
      </c>
      <c r="P4" s="329" t="s">
        <v>21</v>
      </c>
      <c r="Q4" s="142" t="s">
        <v>21</v>
      </c>
      <c r="R4" s="143" t="s">
        <v>386</v>
      </c>
      <c r="S4" s="142" t="s">
        <v>385</v>
      </c>
      <c r="T4" s="142" t="s">
        <v>385</v>
      </c>
      <c r="U4" s="142" t="s">
        <v>385</v>
      </c>
      <c r="V4" s="342" t="s">
        <v>385</v>
      </c>
      <c r="W4" s="340"/>
      <c r="X4" s="390"/>
      <c r="Z4" s="176" t="s">
        <v>385</v>
      </c>
      <c r="AA4" s="176" t="s">
        <v>21</v>
      </c>
      <c r="AB4" s="176" t="s">
        <v>386</v>
      </c>
    </row>
    <row r="5" spans="1:28" ht="18">
      <c r="A5" s="571"/>
      <c r="B5" s="108" t="s">
        <v>29</v>
      </c>
      <c r="C5" s="142" t="s">
        <v>9</v>
      </c>
      <c r="D5" s="145" t="s">
        <v>9</v>
      </c>
      <c r="E5" s="145" t="s">
        <v>8</v>
      </c>
      <c r="F5" s="143" t="s">
        <v>8</v>
      </c>
      <c r="G5" s="143" t="s">
        <v>9</v>
      </c>
      <c r="H5" s="143" t="s">
        <v>8</v>
      </c>
      <c r="I5" s="143" t="s">
        <v>7</v>
      </c>
      <c r="J5" s="145" t="s">
        <v>8</v>
      </c>
      <c r="K5" s="143" t="s">
        <v>8</v>
      </c>
      <c r="L5" s="145" t="s">
        <v>9</v>
      </c>
      <c r="M5" s="145" t="s">
        <v>9</v>
      </c>
      <c r="N5" s="144" t="s">
        <v>9</v>
      </c>
      <c r="O5" s="330" t="s">
        <v>8</v>
      </c>
      <c r="P5" s="330" t="s">
        <v>8</v>
      </c>
      <c r="Q5" s="143" t="s">
        <v>8</v>
      </c>
      <c r="R5" s="142" t="s">
        <v>9</v>
      </c>
      <c r="S5" s="143" t="s">
        <v>8</v>
      </c>
      <c r="T5" s="143" t="s">
        <v>7</v>
      </c>
      <c r="U5" s="144" t="s">
        <v>8</v>
      </c>
      <c r="V5" s="395" t="s">
        <v>8</v>
      </c>
      <c r="W5" s="340"/>
      <c r="X5" s="390"/>
      <c r="Z5" s="176" t="s">
        <v>7</v>
      </c>
      <c r="AA5" s="176" t="s">
        <v>8</v>
      </c>
      <c r="AB5" s="176" t="s">
        <v>9</v>
      </c>
    </row>
    <row r="6" spans="1:28" ht="18">
      <c r="A6" s="571"/>
      <c r="B6" s="108" t="s">
        <v>343</v>
      </c>
      <c r="C6" s="144" t="s">
        <v>8</v>
      </c>
      <c r="D6" s="143" t="s">
        <v>9</v>
      </c>
      <c r="E6" s="142" t="s">
        <v>8</v>
      </c>
      <c r="F6" s="142" t="s">
        <v>7</v>
      </c>
      <c r="G6" s="143" t="s">
        <v>9</v>
      </c>
      <c r="H6" s="142" t="s">
        <v>8</v>
      </c>
      <c r="I6" s="142" t="s">
        <v>8</v>
      </c>
      <c r="J6" s="142" t="s">
        <v>7</v>
      </c>
      <c r="K6" s="144" t="s">
        <v>9</v>
      </c>
      <c r="L6" s="142" t="s">
        <v>8</v>
      </c>
      <c r="M6" s="144" t="s">
        <v>8</v>
      </c>
      <c r="N6" s="143" t="s">
        <v>9</v>
      </c>
      <c r="O6" s="331" t="s">
        <v>9</v>
      </c>
      <c r="P6" s="329" t="s">
        <v>8</v>
      </c>
      <c r="Q6" s="142" t="s">
        <v>8</v>
      </c>
      <c r="R6" s="143" t="s">
        <v>9</v>
      </c>
      <c r="S6" s="142" t="s">
        <v>8</v>
      </c>
      <c r="T6" s="142" t="s">
        <v>7</v>
      </c>
      <c r="U6" s="142" t="s">
        <v>8</v>
      </c>
      <c r="V6" s="396" t="s">
        <v>9</v>
      </c>
      <c r="W6" s="340"/>
      <c r="X6" s="390"/>
      <c r="Z6" s="176" t="s">
        <v>7</v>
      </c>
      <c r="AA6" s="176" t="s">
        <v>8</v>
      </c>
      <c r="AB6" s="176" t="s">
        <v>9</v>
      </c>
    </row>
    <row r="7" spans="1:28" ht="18">
      <c r="A7" s="571"/>
      <c r="B7" s="108" t="s">
        <v>381</v>
      </c>
      <c r="C7" s="144" t="s">
        <v>328</v>
      </c>
      <c r="D7" s="329" t="s">
        <v>328</v>
      </c>
      <c r="E7" s="145" t="s">
        <v>383</v>
      </c>
      <c r="F7" s="142" t="s">
        <v>328</v>
      </c>
      <c r="G7" s="146" t="s">
        <v>383</v>
      </c>
      <c r="H7" s="332" t="s">
        <v>328</v>
      </c>
      <c r="I7" s="143" t="s">
        <v>382</v>
      </c>
      <c r="J7" s="142" t="s">
        <v>383</v>
      </c>
      <c r="K7" s="145" t="s">
        <v>383</v>
      </c>
      <c r="L7" s="143" t="s">
        <v>383</v>
      </c>
      <c r="M7" s="143" t="s">
        <v>383</v>
      </c>
      <c r="N7" s="351" t="s">
        <v>383</v>
      </c>
      <c r="O7" s="146" t="s">
        <v>383</v>
      </c>
      <c r="P7" s="331" t="s">
        <v>383</v>
      </c>
      <c r="Q7" s="142" t="s">
        <v>328</v>
      </c>
      <c r="R7" s="143" t="s">
        <v>383</v>
      </c>
      <c r="S7" s="143" t="s">
        <v>328</v>
      </c>
      <c r="T7" s="142" t="s">
        <v>328</v>
      </c>
      <c r="U7" s="143" t="s">
        <v>382</v>
      </c>
      <c r="V7" s="396" t="s">
        <v>382</v>
      </c>
      <c r="W7" s="402"/>
      <c r="X7" s="390"/>
      <c r="Z7" s="176" t="s">
        <v>382</v>
      </c>
      <c r="AA7" s="176" t="s">
        <v>328</v>
      </c>
      <c r="AB7" s="176" t="s">
        <v>383</v>
      </c>
    </row>
    <row r="8" spans="1:28" ht="18">
      <c r="A8" s="571"/>
      <c r="B8" s="108" t="s">
        <v>330</v>
      </c>
      <c r="C8" s="142" t="s">
        <v>9</v>
      </c>
      <c r="D8" s="142" t="s">
        <v>9</v>
      </c>
      <c r="E8" s="145" t="s">
        <v>8</v>
      </c>
      <c r="F8" s="142" t="s">
        <v>7</v>
      </c>
      <c r="G8" s="143" t="s">
        <v>9</v>
      </c>
      <c r="H8" s="143" t="s">
        <v>8</v>
      </c>
      <c r="I8" s="143" t="s">
        <v>7</v>
      </c>
      <c r="J8" s="145" t="s">
        <v>7</v>
      </c>
      <c r="K8" s="142" t="s">
        <v>8</v>
      </c>
      <c r="L8" s="142" t="s">
        <v>9</v>
      </c>
      <c r="M8" s="142" t="s">
        <v>9</v>
      </c>
      <c r="N8" s="142" t="s">
        <v>9</v>
      </c>
      <c r="O8" s="331" t="s">
        <v>9</v>
      </c>
      <c r="P8" s="330" t="s">
        <v>9</v>
      </c>
      <c r="Q8" s="142" t="s">
        <v>8</v>
      </c>
      <c r="R8" s="145" t="s">
        <v>9</v>
      </c>
      <c r="S8" s="143" t="s">
        <v>8</v>
      </c>
      <c r="T8" s="145" t="s">
        <v>7</v>
      </c>
      <c r="U8" s="143" t="s">
        <v>8</v>
      </c>
      <c r="V8" s="395" t="s">
        <v>8</v>
      </c>
      <c r="W8" s="340"/>
      <c r="X8" s="390"/>
      <c r="Z8" s="176" t="s">
        <v>7</v>
      </c>
      <c r="AA8" s="176" t="s">
        <v>8</v>
      </c>
      <c r="AB8" s="176" t="s">
        <v>9</v>
      </c>
    </row>
    <row r="9" spans="1:28" ht="18">
      <c r="A9" s="571"/>
      <c r="B9" s="108" t="s">
        <v>34</v>
      </c>
      <c r="C9" s="143" t="s">
        <v>7</v>
      </c>
      <c r="D9" s="143" t="s">
        <v>7</v>
      </c>
      <c r="E9" s="145" t="s">
        <v>7</v>
      </c>
      <c r="F9" s="142" t="s">
        <v>8</v>
      </c>
      <c r="G9" s="143" t="s">
        <v>9</v>
      </c>
      <c r="H9" s="143" t="s">
        <v>9</v>
      </c>
      <c r="I9" s="142" t="s">
        <v>8</v>
      </c>
      <c r="J9" s="143" t="s">
        <v>7</v>
      </c>
      <c r="K9" s="341" t="s">
        <v>7</v>
      </c>
      <c r="L9" s="143" t="s">
        <v>7</v>
      </c>
      <c r="M9" s="144" t="s">
        <v>7</v>
      </c>
      <c r="N9" s="142" t="s">
        <v>7</v>
      </c>
      <c r="O9" s="330" t="s">
        <v>9</v>
      </c>
      <c r="P9" s="331" t="s">
        <v>8</v>
      </c>
      <c r="Q9" s="142" t="s">
        <v>7</v>
      </c>
      <c r="R9" s="143" t="s">
        <v>7</v>
      </c>
      <c r="S9" s="143" t="s">
        <v>8</v>
      </c>
      <c r="T9" s="144" t="s">
        <v>8</v>
      </c>
      <c r="U9" s="144" t="s">
        <v>8</v>
      </c>
      <c r="V9" s="397" t="s">
        <v>8</v>
      </c>
      <c r="W9" s="340"/>
      <c r="X9" s="390"/>
      <c r="Z9" s="176" t="s">
        <v>7</v>
      </c>
      <c r="AA9" s="176" t="s">
        <v>8</v>
      </c>
      <c r="AB9" s="176" t="s">
        <v>9</v>
      </c>
    </row>
    <row r="10" spans="1:28" ht="18">
      <c r="A10" s="571"/>
      <c r="B10" s="108" t="s">
        <v>33</v>
      </c>
      <c r="C10" s="145" t="s">
        <v>27</v>
      </c>
      <c r="D10" s="145" t="s">
        <v>27</v>
      </c>
      <c r="E10" s="145" t="s">
        <v>27</v>
      </c>
      <c r="F10" s="145" t="s">
        <v>27</v>
      </c>
      <c r="G10" s="145" t="s">
        <v>27</v>
      </c>
      <c r="H10" s="145" t="s">
        <v>27</v>
      </c>
      <c r="I10" s="145" t="s">
        <v>27</v>
      </c>
      <c r="J10" s="145" t="s">
        <v>27</v>
      </c>
      <c r="K10" s="145" t="s">
        <v>27</v>
      </c>
      <c r="L10" s="145" t="s">
        <v>27</v>
      </c>
      <c r="M10" s="145" t="s">
        <v>27</v>
      </c>
      <c r="N10" s="145" t="s">
        <v>27</v>
      </c>
      <c r="O10" s="330" t="s">
        <v>28</v>
      </c>
      <c r="P10" s="330" t="s">
        <v>28</v>
      </c>
      <c r="Q10" s="145" t="s">
        <v>27</v>
      </c>
      <c r="R10" s="145" t="s">
        <v>27</v>
      </c>
      <c r="S10" s="145" t="s">
        <v>27</v>
      </c>
      <c r="T10" s="145" t="s">
        <v>27</v>
      </c>
      <c r="U10" s="145" t="s">
        <v>27</v>
      </c>
      <c r="V10" s="398" t="s">
        <v>27</v>
      </c>
      <c r="W10" s="340"/>
      <c r="X10" s="390"/>
      <c r="Z10" s="176" t="s">
        <v>27</v>
      </c>
      <c r="AA10" s="176" t="s">
        <v>28</v>
      </c>
      <c r="AB10" s="176" t="s">
        <v>433</v>
      </c>
    </row>
    <row r="11" spans="1:28" ht="18">
      <c r="A11" s="571"/>
      <c r="B11" s="108" t="s">
        <v>31</v>
      </c>
      <c r="C11" s="142" t="s">
        <v>8</v>
      </c>
      <c r="D11" s="143" t="s">
        <v>9</v>
      </c>
      <c r="E11" s="143" t="s">
        <v>9</v>
      </c>
      <c r="F11" s="143" t="s">
        <v>8</v>
      </c>
      <c r="G11" s="143" t="s">
        <v>8</v>
      </c>
      <c r="H11" s="144" t="s">
        <v>8</v>
      </c>
      <c r="I11" s="143" t="s">
        <v>9</v>
      </c>
      <c r="J11" s="144" t="s">
        <v>8</v>
      </c>
      <c r="K11" s="145" t="s">
        <v>8</v>
      </c>
      <c r="L11" s="143" t="s">
        <v>9</v>
      </c>
      <c r="M11" s="144" t="s">
        <v>8</v>
      </c>
      <c r="N11" s="143" t="s">
        <v>9</v>
      </c>
      <c r="O11" s="330" t="s">
        <v>8</v>
      </c>
      <c r="P11" s="329" t="s">
        <v>8</v>
      </c>
      <c r="Q11" s="144" t="s">
        <v>9</v>
      </c>
      <c r="R11" s="144" t="s">
        <v>8</v>
      </c>
      <c r="S11" s="147" t="s">
        <v>8</v>
      </c>
      <c r="T11" s="143" t="s">
        <v>7</v>
      </c>
      <c r="U11" s="147" t="s">
        <v>8</v>
      </c>
      <c r="V11" s="396" t="s">
        <v>9</v>
      </c>
      <c r="W11" s="340"/>
      <c r="X11" s="390"/>
      <c r="Z11" s="176" t="s">
        <v>7</v>
      </c>
      <c r="AA11" s="176" t="s">
        <v>8</v>
      </c>
      <c r="AB11" s="176" t="s">
        <v>9</v>
      </c>
    </row>
    <row r="12" spans="1:28" ht="18">
      <c r="A12" s="572" t="s">
        <v>399</v>
      </c>
      <c r="B12" s="109" t="s">
        <v>36</v>
      </c>
      <c r="C12" s="142" t="s">
        <v>9</v>
      </c>
      <c r="D12" s="145" t="s">
        <v>9</v>
      </c>
      <c r="E12" s="145" t="s">
        <v>8</v>
      </c>
      <c r="F12" s="145" t="s">
        <v>7</v>
      </c>
      <c r="G12" s="145" t="s">
        <v>7</v>
      </c>
      <c r="H12" s="145" t="s">
        <v>9</v>
      </c>
      <c r="I12" s="145" t="s">
        <v>9</v>
      </c>
      <c r="J12" s="145" t="s">
        <v>7</v>
      </c>
      <c r="K12" s="338" t="s">
        <v>7</v>
      </c>
      <c r="L12" s="337" t="s">
        <v>9</v>
      </c>
      <c r="M12" s="145" t="s">
        <v>9</v>
      </c>
      <c r="N12" s="145" t="s">
        <v>7</v>
      </c>
      <c r="O12" s="330" t="s">
        <v>8</v>
      </c>
      <c r="P12" s="331" t="s">
        <v>9</v>
      </c>
      <c r="Q12" s="145" t="s">
        <v>8</v>
      </c>
      <c r="R12" s="145" t="s">
        <v>8</v>
      </c>
      <c r="S12" s="148" t="s">
        <v>8</v>
      </c>
      <c r="T12" s="145" t="s">
        <v>9</v>
      </c>
      <c r="U12" s="148" t="s">
        <v>9</v>
      </c>
      <c r="V12" s="398" t="s">
        <v>9</v>
      </c>
      <c r="W12" s="340"/>
      <c r="X12" s="390"/>
      <c r="Z12" s="176" t="s">
        <v>7</v>
      </c>
      <c r="AA12" s="176" t="s">
        <v>8</v>
      </c>
      <c r="AB12" s="176" t="s">
        <v>9</v>
      </c>
    </row>
    <row r="13" spans="1:28" ht="18">
      <c r="A13" s="572"/>
      <c r="B13" s="109" t="s">
        <v>35</v>
      </c>
      <c r="C13" s="144" t="s">
        <v>8</v>
      </c>
      <c r="D13" s="144" t="s">
        <v>8</v>
      </c>
      <c r="E13" s="144" t="s">
        <v>8</v>
      </c>
      <c r="F13" s="144" t="s">
        <v>8</v>
      </c>
      <c r="G13" s="144" t="s">
        <v>8</v>
      </c>
      <c r="H13" s="144" t="s">
        <v>8</v>
      </c>
      <c r="I13" s="144" t="s">
        <v>8</v>
      </c>
      <c r="J13" s="144" t="s">
        <v>8</v>
      </c>
      <c r="K13" s="144" t="s">
        <v>8</v>
      </c>
      <c r="L13" s="144" t="s">
        <v>8</v>
      </c>
      <c r="M13" s="144" t="s">
        <v>8</v>
      </c>
      <c r="N13" s="144" t="s">
        <v>8</v>
      </c>
      <c r="O13" s="329" t="s">
        <v>8</v>
      </c>
      <c r="P13" s="329" t="s">
        <v>8</v>
      </c>
      <c r="Q13" s="144" t="s">
        <v>8</v>
      </c>
      <c r="R13" s="144" t="s">
        <v>8</v>
      </c>
      <c r="S13" s="149" t="s">
        <v>8</v>
      </c>
      <c r="T13" s="144" t="s">
        <v>8</v>
      </c>
      <c r="U13" s="149" t="s">
        <v>8</v>
      </c>
      <c r="V13" s="397" t="s">
        <v>8</v>
      </c>
      <c r="W13" s="340"/>
      <c r="X13" s="390"/>
      <c r="Z13" s="176" t="s">
        <v>7</v>
      </c>
      <c r="AA13" s="176" t="s">
        <v>8</v>
      </c>
      <c r="AB13" s="176" t="s">
        <v>9</v>
      </c>
    </row>
    <row r="14" spans="1:28" ht="18">
      <c r="A14" s="573" t="s">
        <v>400</v>
      </c>
      <c r="B14" s="110" t="s">
        <v>30</v>
      </c>
      <c r="C14" s="145" t="s">
        <v>7</v>
      </c>
      <c r="D14" s="145" t="s">
        <v>7</v>
      </c>
      <c r="E14" s="145" t="s">
        <v>7</v>
      </c>
      <c r="F14" s="145" t="s">
        <v>7</v>
      </c>
      <c r="G14" s="145" t="s">
        <v>8</v>
      </c>
      <c r="H14" s="145" t="s">
        <v>8</v>
      </c>
      <c r="I14" s="145" t="s">
        <v>7</v>
      </c>
      <c r="J14" s="145" t="s">
        <v>8</v>
      </c>
      <c r="K14" s="144" t="s">
        <v>8</v>
      </c>
      <c r="L14" s="145" t="s">
        <v>8</v>
      </c>
      <c r="M14" s="145" t="s">
        <v>9</v>
      </c>
      <c r="N14" s="145" t="s">
        <v>9</v>
      </c>
      <c r="O14" s="330" t="s">
        <v>8</v>
      </c>
      <c r="P14" s="330" t="s">
        <v>9</v>
      </c>
      <c r="Q14" s="145" t="s">
        <v>8</v>
      </c>
      <c r="R14" s="145" t="s">
        <v>9</v>
      </c>
      <c r="S14" s="148" t="s">
        <v>8</v>
      </c>
      <c r="T14" s="145" t="s">
        <v>7</v>
      </c>
      <c r="U14" s="148" t="s">
        <v>7</v>
      </c>
      <c r="V14" s="398" t="s">
        <v>8</v>
      </c>
      <c r="W14" s="340"/>
      <c r="X14" s="390"/>
      <c r="Z14" s="176" t="s">
        <v>7</v>
      </c>
      <c r="AA14" s="176" t="s">
        <v>8</v>
      </c>
      <c r="AB14" s="176" t="s">
        <v>9</v>
      </c>
    </row>
    <row r="15" spans="1:28" ht="18">
      <c r="A15" s="573"/>
      <c r="B15" s="110" t="s">
        <v>347</v>
      </c>
      <c r="C15" s="145" t="s">
        <v>335</v>
      </c>
      <c r="D15" s="145" t="s">
        <v>335</v>
      </c>
      <c r="E15" s="145" t="s">
        <v>335</v>
      </c>
      <c r="F15" s="302" t="s">
        <v>335</v>
      </c>
      <c r="G15" s="302" t="s">
        <v>335</v>
      </c>
      <c r="H15" s="302" t="s">
        <v>335</v>
      </c>
      <c r="I15" s="302" t="s">
        <v>302</v>
      </c>
      <c r="J15" s="302" t="s">
        <v>335</v>
      </c>
      <c r="K15" s="145" t="s">
        <v>335</v>
      </c>
      <c r="L15" s="145" t="s">
        <v>335</v>
      </c>
      <c r="M15" s="302" t="s">
        <v>335</v>
      </c>
      <c r="N15" s="302" t="s">
        <v>335</v>
      </c>
      <c r="O15" s="333" t="s">
        <v>335</v>
      </c>
      <c r="P15" s="330" t="s">
        <v>335</v>
      </c>
      <c r="Q15" s="302" t="s">
        <v>335</v>
      </c>
      <c r="R15" s="145" t="s">
        <v>335</v>
      </c>
      <c r="S15" s="303" t="s">
        <v>335</v>
      </c>
      <c r="T15" s="302" t="s">
        <v>335</v>
      </c>
      <c r="U15" s="303" t="s">
        <v>335</v>
      </c>
      <c r="V15" s="399" t="s">
        <v>335</v>
      </c>
      <c r="W15" s="343"/>
      <c r="X15" s="391"/>
      <c r="Z15" s="176" t="s">
        <v>301</v>
      </c>
      <c r="AA15" s="176" t="s">
        <v>335</v>
      </c>
      <c r="AB15" s="176" t="s">
        <v>302</v>
      </c>
    </row>
    <row r="16" spans="1:28" ht="18">
      <c r="A16" s="573"/>
      <c r="B16" s="110" t="s">
        <v>26</v>
      </c>
      <c r="C16" s="143" t="s">
        <v>28</v>
      </c>
      <c r="D16" s="143" t="s">
        <v>28</v>
      </c>
      <c r="E16" s="143" t="s">
        <v>28</v>
      </c>
      <c r="F16" s="143" t="s">
        <v>27</v>
      </c>
      <c r="G16" s="143" t="s">
        <v>27</v>
      </c>
      <c r="H16" s="143" t="s">
        <v>27</v>
      </c>
      <c r="I16" s="143" t="s">
        <v>27</v>
      </c>
      <c r="J16" s="143" t="s">
        <v>28</v>
      </c>
      <c r="K16" s="143" t="s">
        <v>27</v>
      </c>
      <c r="L16" s="143" t="s">
        <v>28</v>
      </c>
      <c r="M16" s="143" t="s">
        <v>28</v>
      </c>
      <c r="N16" s="143" t="s">
        <v>28</v>
      </c>
      <c r="O16" s="331" t="s">
        <v>27</v>
      </c>
      <c r="P16" s="331" t="s">
        <v>27</v>
      </c>
      <c r="Q16" s="143" t="s">
        <v>28</v>
      </c>
      <c r="R16" s="143" t="s">
        <v>28</v>
      </c>
      <c r="S16" s="147" t="s">
        <v>27</v>
      </c>
      <c r="T16" s="143" t="s">
        <v>27</v>
      </c>
      <c r="U16" s="147" t="s">
        <v>27</v>
      </c>
      <c r="V16" s="396" t="s">
        <v>27</v>
      </c>
      <c r="W16" s="340"/>
      <c r="X16" s="390"/>
      <c r="Z16" s="176" t="s">
        <v>27</v>
      </c>
      <c r="AA16" s="176" t="s">
        <v>28</v>
      </c>
      <c r="AB16" s="176" t="s">
        <v>433</v>
      </c>
    </row>
    <row r="17" spans="1:28" ht="18">
      <c r="A17" s="573"/>
      <c r="B17" s="110" t="s">
        <v>392</v>
      </c>
      <c r="C17" s="143" t="s">
        <v>7</v>
      </c>
      <c r="D17" s="145" t="s">
        <v>8</v>
      </c>
      <c r="E17" s="142" t="s">
        <v>7</v>
      </c>
      <c r="F17" s="143" t="s">
        <v>8</v>
      </c>
      <c r="G17" s="142" t="s">
        <v>7</v>
      </c>
      <c r="H17" s="144" t="s">
        <v>8</v>
      </c>
      <c r="I17" s="143" t="s">
        <v>8</v>
      </c>
      <c r="J17" s="145" t="s">
        <v>9</v>
      </c>
      <c r="K17" s="143" t="s">
        <v>319</v>
      </c>
      <c r="L17" s="143" t="s">
        <v>7</v>
      </c>
      <c r="M17" s="143" t="s">
        <v>9</v>
      </c>
      <c r="N17" s="142" t="s">
        <v>8</v>
      </c>
      <c r="O17" s="330" t="s">
        <v>8</v>
      </c>
      <c r="P17" s="329" t="s">
        <v>9</v>
      </c>
      <c r="Q17" s="143" t="s">
        <v>9</v>
      </c>
      <c r="R17" s="143" t="s">
        <v>9</v>
      </c>
      <c r="S17" s="150" t="s">
        <v>8</v>
      </c>
      <c r="T17" s="143" t="s">
        <v>319</v>
      </c>
      <c r="U17" s="150" t="s">
        <v>7</v>
      </c>
      <c r="V17" s="397" t="s">
        <v>8</v>
      </c>
      <c r="W17" s="340"/>
      <c r="X17" s="390"/>
      <c r="Z17" s="176" t="s">
        <v>7</v>
      </c>
      <c r="AA17" s="176" t="s">
        <v>8</v>
      </c>
      <c r="AB17" s="176" t="s">
        <v>9</v>
      </c>
    </row>
    <row r="18" spans="1:28" ht="18">
      <c r="A18" s="573"/>
      <c r="B18" s="110" t="s">
        <v>332</v>
      </c>
      <c r="C18" s="144" t="s">
        <v>9</v>
      </c>
      <c r="D18" s="144" t="s">
        <v>9</v>
      </c>
      <c r="E18" s="142" t="s">
        <v>7</v>
      </c>
      <c r="F18" s="142" t="s">
        <v>9</v>
      </c>
      <c r="G18" s="145" t="s">
        <v>7</v>
      </c>
      <c r="H18" s="142" t="s">
        <v>9</v>
      </c>
      <c r="I18" s="142" t="s">
        <v>9</v>
      </c>
      <c r="J18" s="142" t="s">
        <v>8</v>
      </c>
      <c r="K18" s="144" t="s">
        <v>9</v>
      </c>
      <c r="L18" s="144" t="s">
        <v>7</v>
      </c>
      <c r="M18" s="142" t="s">
        <v>7</v>
      </c>
      <c r="N18" s="142" t="s">
        <v>9</v>
      </c>
      <c r="O18" s="332" t="s">
        <v>7</v>
      </c>
      <c r="P18" s="331" t="s">
        <v>7</v>
      </c>
      <c r="Q18" s="142" t="s">
        <v>8</v>
      </c>
      <c r="R18" s="143" t="s">
        <v>9</v>
      </c>
      <c r="S18" s="150" t="s">
        <v>7</v>
      </c>
      <c r="T18" s="144" t="s">
        <v>8</v>
      </c>
      <c r="U18" s="150" t="s">
        <v>9</v>
      </c>
      <c r="V18" s="395" t="s">
        <v>9</v>
      </c>
      <c r="W18" s="340"/>
      <c r="X18" s="390"/>
      <c r="Z18" s="176" t="s">
        <v>7</v>
      </c>
      <c r="AA18" s="176" t="s">
        <v>8</v>
      </c>
      <c r="AB18" s="176" t="s">
        <v>9</v>
      </c>
    </row>
    <row r="19" spans="1:28" ht="18">
      <c r="A19" s="578" t="s">
        <v>401</v>
      </c>
      <c r="B19" s="111" t="s">
        <v>38</v>
      </c>
      <c r="C19" s="145" t="s">
        <v>8</v>
      </c>
      <c r="D19" s="142" t="s">
        <v>8</v>
      </c>
      <c r="E19" s="142" t="s">
        <v>40</v>
      </c>
      <c r="F19" s="144" t="s">
        <v>8</v>
      </c>
      <c r="G19" s="144" t="s">
        <v>8</v>
      </c>
      <c r="H19" s="144" t="s">
        <v>8</v>
      </c>
      <c r="I19" s="145" t="s">
        <v>8</v>
      </c>
      <c r="J19" s="142" t="s">
        <v>40</v>
      </c>
      <c r="K19" s="145" t="s">
        <v>40</v>
      </c>
      <c r="L19" s="145" t="s">
        <v>40</v>
      </c>
      <c r="M19" s="145" t="s">
        <v>39</v>
      </c>
      <c r="N19" s="142" t="s">
        <v>39</v>
      </c>
      <c r="O19" s="332" t="s">
        <v>8</v>
      </c>
      <c r="P19" s="330" t="s">
        <v>39</v>
      </c>
      <c r="Q19" s="142" t="s">
        <v>39</v>
      </c>
      <c r="R19" s="142" t="s">
        <v>40</v>
      </c>
      <c r="S19" s="149" t="s">
        <v>8</v>
      </c>
      <c r="T19" s="142" t="s">
        <v>40</v>
      </c>
      <c r="U19" s="149" t="s">
        <v>8</v>
      </c>
      <c r="V19" s="397" t="s">
        <v>8</v>
      </c>
      <c r="W19" s="340"/>
      <c r="X19" s="390"/>
      <c r="Z19" s="176" t="s">
        <v>39</v>
      </c>
      <c r="AA19" s="176" t="s">
        <v>8</v>
      </c>
      <c r="AB19" s="176" t="s">
        <v>40</v>
      </c>
    </row>
    <row r="20" spans="1:28" ht="18">
      <c r="A20" s="578"/>
      <c r="B20" s="111" t="s">
        <v>388</v>
      </c>
      <c r="C20" s="145" t="s">
        <v>328</v>
      </c>
      <c r="D20" s="145" t="s">
        <v>328</v>
      </c>
      <c r="E20" s="145" t="s">
        <v>12</v>
      </c>
      <c r="F20" s="145" t="s">
        <v>328</v>
      </c>
      <c r="G20" s="145" t="s">
        <v>12</v>
      </c>
      <c r="H20" s="145" t="s">
        <v>328</v>
      </c>
      <c r="I20" s="145" t="s">
        <v>12</v>
      </c>
      <c r="J20" s="145" t="s">
        <v>12</v>
      </c>
      <c r="K20" s="145" t="s">
        <v>12</v>
      </c>
      <c r="L20" s="145" t="s">
        <v>12</v>
      </c>
      <c r="M20" s="145" t="s">
        <v>12</v>
      </c>
      <c r="N20" s="142" t="s">
        <v>12</v>
      </c>
      <c r="O20" s="330" t="s">
        <v>12</v>
      </c>
      <c r="P20" s="330" t="s">
        <v>328</v>
      </c>
      <c r="Q20" s="145" t="s">
        <v>12</v>
      </c>
      <c r="R20" s="145" t="s">
        <v>328</v>
      </c>
      <c r="S20" s="148" t="s">
        <v>12</v>
      </c>
      <c r="T20" s="145" t="s">
        <v>389</v>
      </c>
      <c r="U20" s="148" t="s">
        <v>12</v>
      </c>
      <c r="V20" s="398" t="s">
        <v>12</v>
      </c>
      <c r="W20" s="340"/>
      <c r="X20" s="390"/>
      <c r="Z20" s="176" t="s">
        <v>12</v>
      </c>
      <c r="AA20" s="176" t="s">
        <v>328</v>
      </c>
      <c r="AB20" s="176" t="s">
        <v>389</v>
      </c>
    </row>
    <row r="21" spans="1:28" ht="18">
      <c r="A21" s="579" t="s">
        <v>405</v>
      </c>
      <c r="B21" s="113" t="s">
        <v>342</v>
      </c>
      <c r="C21" s="145" t="s">
        <v>28</v>
      </c>
      <c r="D21" s="145" t="s">
        <v>27</v>
      </c>
      <c r="E21" s="145" t="s">
        <v>27</v>
      </c>
      <c r="F21" s="145" t="s">
        <v>28</v>
      </c>
      <c r="G21" s="145" t="s">
        <v>28</v>
      </c>
      <c r="H21" s="145" t="s">
        <v>28</v>
      </c>
      <c r="I21" s="145" t="s">
        <v>28</v>
      </c>
      <c r="J21" s="145" t="s">
        <v>27</v>
      </c>
      <c r="K21" s="145" t="s">
        <v>28</v>
      </c>
      <c r="L21" s="145" t="s">
        <v>28</v>
      </c>
      <c r="M21" s="145" t="s">
        <v>28</v>
      </c>
      <c r="N21" s="145" t="s">
        <v>28</v>
      </c>
      <c r="O21" s="330" t="s">
        <v>28</v>
      </c>
      <c r="P21" s="330" t="s">
        <v>28</v>
      </c>
      <c r="Q21" s="145" t="s">
        <v>27</v>
      </c>
      <c r="R21" s="145" t="s">
        <v>27</v>
      </c>
      <c r="S21" s="145" t="s">
        <v>28</v>
      </c>
      <c r="T21" s="145" t="s">
        <v>27</v>
      </c>
      <c r="U21" s="145" t="s">
        <v>28</v>
      </c>
      <c r="V21" s="398" t="s">
        <v>28</v>
      </c>
      <c r="W21" s="340"/>
      <c r="X21" s="390"/>
      <c r="Z21" s="176" t="s">
        <v>27</v>
      </c>
      <c r="AA21" s="176" t="s">
        <v>28</v>
      </c>
      <c r="AB21" s="176" t="s">
        <v>433</v>
      </c>
    </row>
    <row r="22" spans="1:28" ht="18">
      <c r="A22" s="579"/>
      <c r="B22" s="113" t="s">
        <v>393</v>
      </c>
      <c r="C22" s="145" t="s">
        <v>433</v>
      </c>
      <c r="D22" s="145" t="s">
        <v>433</v>
      </c>
      <c r="E22" s="145" t="s">
        <v>719</v>
      </c>
      <c r="F22" s="145" t="s">
        <v>28</v>
      </c>
      <c r="G22" s="145" t="s">
        <v>719</v>
      </c>
      <c r="H22" s="145" t="s">
        <v>28</v>
      </c>
      <c r="I22" s="145" t="s">
        <v>719</v>
      </c>
      <c r="J22" s="145" t="s">
        <v>28</v>
      </c>
      <c r="K22" s="145" t="s">
        <v>433</v>
      </c>
      <c r="L22" s="145" t="s">
        <v>719</v>
      </c>
      <c r="M22" s="352" t="s">
        <v>792</v>
      </c>
      <c r="N22" s="142" t="s">
        <v>788</v>
      </c>
      <c r="O22" s="332" t="s">
        <v>729</v>
      </c>
      <c r="P22" s="332" t="s">
        <v>729</v>
      </c>
      <c r="Q22" s="145" t="s">
        <v>28</v>
      </c>
      <c r="R22" s="142" t="s">
        <v>719</v>
      </c>
      <c r="S22" s="145" t="s">
        <v>28</v>
      </c>
      <c r="T22" s="145" t="s">
        <v>28</v>
      </c>
      <c r="U22" s="145" t="s">
        <v>729</v>
      </c>
      <c r="V22" s="398" t="s">
        <v>729</v>
      </c>
      <c r="W22" s="340"/>
      <c r="X22" s="390"/>
      <c r="Z22" s="176" t="s">
        <v>27</v>
      </c>
      <c r="AA22" s="176" t="s">
        <v>28</v>
      </c>
      <c r="AB22" s="176" t="s">
        <v>433</v>
      </c>
    </row>
    <row r="23" spans="1:28" ht="18">
      <c r="A23" s="579"/>
      <c r="B23" s="113" t="s">
        <v>345</v>
      </c>
      <c r="C23" s="150" t="s">
        <v>7</v>
      </c>
      <c r="D23" s="142" t="s">
        <v>7</v>
      </c>
      <c r="E23" s="145" t="s">
        <v>8</v>
      </c>
      <c r="F23" s="142" t="s">
        <v>8</v>
      </c>
      <c r="G23" s="143" t="s">
        <v>8</v>
      </c>
      <c r="H23" s="143" t="s">
        <v>8</v>
      </c>
      <c r="I23" s="143" t="s">
        <v>8</v>
      </c>
      <c r="J23" s="150" t="s">
        <v>7</v>
      </c>
      <c r="K23" s="144" t="s">
        <v>8</v>
      </c>
      <c r="L23" s="338" t="s">
        <v>7</v>
      </c>
      <c r="M23" s="147" t="s">
        <v>9</v>
      </c>
      <c r="N23" s="143" t="s">
        <v>8</v>
      </c>
      <c r="O23" s="330" t="s">
        <v>8</v>
      </c>
      <c r="P23" s="332" t="s">
        <v>8</v>
      </c>
      <c r="Q23" s="143" t="s">
        <v>7</v>
      </c>
      <c r="R23" s="143" t="s">
        <v>9</v>
      </c>
      <c r="S23" s="143" t="s">
        <v>9</v>
      </c>
      <c r="T23" s="142" t="s">
        <v>7</v>
      </c>
      <c r="U23" s="147" t="s">
        <v>8</v>
      </c>
      <c r="V23" s="400" t="s">
        <v>8</v>
      </c>
      <c r="W23" s="340"/>
      <c r="X23" s="392"/>
      <c r="Z23" s="176" t="s">
        <v>7</v>
      </c>
      <c r="AA23" s="176" t="s">
        <v>8</v>
      </c>
      <c r="AB23" s="176" t="s">
        <v>9</v>
      </c>
    </row>
    <row r="24" spans="1:28" ht="18">
      <c r="A24" s="579"/>
      <c r="B24" s="113" t="s">
        <v>37</v>
      </c>
      <c r="C24" s="145" t="s">
        <v>28</v>
      </c>
      <c r="D24" s="145" t="s">
        <v>28</v>
      </c>
      <c r="E24" s="145" t="s">
        <v>28</v>
      </c>
      <c r="F24" s="145" t="s">
        <v>28</v>
      </c>
      <c r="G24" s="145" t="s">
        <v>28</v>
      </c>
      <c r="H24" s="145" t="s">
        <v>28</v>
      </c>
      <c r="I24" s="145" t="s">
        <v>28</v>
      </c>
      <c r="J24" s="145" t="s">
        <v>27</v>
      </c>
      <c r="K24" s="145" t="s">
        <v>28</v>
      </c>
      <c r="L24" s="145" t="s">
        <v>28</v>
      </c>
      <c r="M24" s="145" t="s">
        <v>28</v>
      </c>
      <c r="N24" s="145" t="s">
        <v>28</v>
      </c>
      <c r="O24" s="330" t="s">
        <v>28</v>
      </c>
      <c r="P24" s="330" t="s">
        <v>28</v>
      </c>
      <c r="Q24" s="145" t="s">
        <v>28</v>
      </c>
      <c r="R24" s="145" t="s">
        <v>27</v>
      </c>
      <c r="S24" s="145" t="s">
        <v>28</v>
      </c>
      <c r="T24" s="145" t="s">
        <v>28</v>
      </c>
      <c r="U24" s="145" t="s">
        <v>28</v>
      </c>
      <c r="V24" s="398" t="s">
        <v>28</v>
      </c>
      <c r="W24" s="340"/>
      <c r="X24" s="390"/>
      <c r="Z24" s="176" t="s">
        <v>27</v>
      </c>
      <c r="AA24" s="176" t="s">
        <v>28</v>
      </c>
      <c r="AB24" s="176" t="s">
        <v>433</v>
      </c>
    </row>
    <row r="25" spans="1:28" ht="18">
      <c r="A25" s="579"/>
      <c r="B25" s="113" t="s">
        <v>387</v>
      </c>
      <c r="C25" s="145" t="s">
        <v>28</v>
      </c>
      <c r="D25" s="145" t="s">
        <v>28</v>
      </c>
      <c r="E25" s="145" t="s">
        <v>28</v>
      </c>
      <c r="F25" s="142" t="s">
        <v>27</v>
      </c>
      <c r="G25" s="142" t="s">
        <v>28</v>
      </c>
      <c r="H25" s="142" t="s">
        <v>28</v>
      </c>
      <c r="I25" s="142" t="s">
        <v>28</v>
      </c>
      <c r="J25" s="145" t="s">
        <v>28</v>
      </c>
      <c r="K25" s="145" t="s">
        <v>28</v>
      </c>
      <c r="L25" s="145" t="s">
        <v>27</v>
      </c>
      <c r="M25" s="145" t="s">
        <v>28</v>
      </c>
      <c r="N25" s="142" t="s">
        <v>28</v>
      </c>
      <c r="O25" s="332" t="s">
        <v>28</v>
      </c>
      <c r="P25" s="330" t="s">
        <v>28</v>
      </c>
      <c r="Q25" s="142" t="s">
        <v>28</v>
      </c>
      <c r="R25" s="145" t="s">
        <v>28</v>
      </c>
      <c r="S25" s="142" t="s">
        <v>28</v>
      </c>
      <c r="T25" s="142" t="s">
        <v>28</v>
      </c>
      <c r="U25" s="142" t="s">
        <v>28</v>
      </c>
      <c r="V25" s="395" t="s">
        <v>28</v>
      </c>
      <c r="W25" s="340"/>
      <c r="X25" s="390"/>
      <c r="Z25" s="176" t="s">
        <v>27</v>
      </c>
      <c r="AA25" s="176" t="s">
        <v>28</v>
      </c>
      <c r="AB25" s="176" t="s">
        <v>433</v>
      </c>
    </row>
    <row r="26" spans="1:28" ht="18">
      <c r="A26" s="579"/>
      <c r="B26" s="113" t="s">
        <v>402</v>
      </c>
      <c r="C26" s="145" t="s">
        <v>28</v>
      </c>
      <c r="D26" s="145" t="s">
        <v>28</v>
      </c>
      <c r="E26" s="145" t="s">
        <v>28</v>
      </c>
      <c r="F26" s="145" t="s">
        <v>28</v>
      </c>
      <c r="G26" s="145" t="s">
        <v>27</v>
      </c>
      <c r="H26" s="145" t="s">
        <v>28</v>
      </c>
      <c r="I26" s="145" t="s">
        <v>28</v>
      </c>
      <c r="J26" s="145" t="s">
        <v>28</v>
      </c>
      <c r="K26" s="145" t="s">
        <v>28</v>
      </c>
      <c r="L26" s="145" t="s">
        <v>28</v>
      </c>
      <c r="M26" s="145" t="s">
        <v>28</v>
      </c>
      <c r="N26" s="145" t="s">
        <v>28</v>
      </c>
      <c r="O26" s="330" t="s">
        <v>28</v>
      </c>
      <c r="P26" s="330" t="s">
        <v>28</v>
      </c>
      <c r="Q26" s="145" t="s">
        <v>28</v>
      </c>
      <c r="R26" s="145" t="s">
        <v>27</v>
      </c>
      <c r="S26" s="145" t="s">
        <v>28</v>
      </c>
      <c r="T26" s="145" t="s">
        <v>28</v>
      </c>
      <c r="U26" s="145" t="s">
        <v>27</v>
      </c>
      <c r="V26" s="398" t="s">
        <v>28</v>
      </c>
      <c r="W26" s="340"/>
      <c r="X26" s="390"/>
      <c r="Z26" s="176" t="s">
        <v>27</v>
      </c>
      <c r="AA26" s="176" t="s">
        <v>28</v>
      </c>
      <c r="AB26" s="176" t="s">
        <v>433</v>
      </c>
    </row>
    <row r="27" spans="1:28" ht="18">
      <c r="A27" s="564" t="s">
        <v>403</v>
      </c>
      <c r="B27" s="112" t="s">
        <v>404</v>
      </c>
      <c r="C27" s="145" t="s">
        <v>28</v>
      </c>
      <c r="D27" s="145" t="s">
        <v>28</v>
      </c>
      <c r="E27" s="145" t="s">
        <v>28</v>
      </c>
      <c r="F27" s="143" t="s">
        <v>27</v>
      </c>
      <c r="G27" s="143" t="s">
        <v>27</v>
      </c>
      <c r="H27" s="143" t="s">
        <v>28</v>
      </c>
      <c r="I27" s="143" t="s">
        <v>27</v>
      </c>
      <c r="J27" s="145" t="s">
        <v>28</v>
      </c>
      <c r="K27" s="145" t="s">
        <v>28</v>
      </c>
      <c r="L27" s="145" t="s">
        <v>27</v>
      </c>
      <c r="M27" s="145" t="s">
        <v>28</v>
      </c>
      <c r="N27" s="143" t="s">
        <v>28</v>
      </c>
      <c r="O27" s="331" t="s">
        <v>27</v>
      </c>
      <c r="P27" s="330" t="s">
        <v>28</v>
      </c>
      <c r="Q27" s="143" t="s">
        <v>28</v>
      </c>
      <c r="R27" s="145" t="s">
        <v>27</v>
      </c>
      <c r="S27" s="143" t="s">
        <v>27</v>
      </c>
      <c r="T27" s="143" t="s">
        <v>27</v>
      </c>
      <c r="U27" s="143" t="s">
        <v>27</v>
      </c>
      <c r="V27" s="396" t="s">
        <v>27</v>
      </c>
      <c r="W27" s="340"/>
      <c r="X27" s="390"/>
      <c r="Z27" s="176" t="s">
        <v>27</v>
      </c>
      <c r="AA27" s="176" t="s">
        <v>28</v>
      </c>
      <c r="AB27" s="176" t="s">
        <v>433</v>
      </c>
    </row>
    <row r="28" spans="1:28" ht="18">
      <c r="A28" s="565"/>
      <c r="B28" s="112" t="s">
        <v>518</v>
      </c>
      <c r="C28" s="319">
        <v>20</v>
      </c>
      <c r="D28" s="319">
        <v>70</v>
      </c>
      <c r="E28" s="319">
        <v>20</v>
      </c>
      <c r="F28" s="299" t="s">
        <v>801</v>
      </c>
      <c r="G28" s="151">
        <v>35</v>
      </c>
      <c r="H28" s="151">
        <v>65</v>
      </c>
      <c r="I28" s="151">
        <v>55</v>
      </c>
      <c r="J28" s="319">
        <v>20</v>
      </c>
      <c r="K28" s="319">
        <v>10</v>
      </c>
      <c r="L28" s="319">
        <v>20</v>
      </c>
      <c r="M28" s="319">
        <v>30</v>
      </c>
      <c r="N28" s="151">
        <v>30</v>
      </c>
      <c r="O28" s="354">
        <v>100</v>
      </c>
      <c r="P28" s="334">
        <v>100</v>
      </c>
      <c r="Q28" s="151">
        <v>80</v>
      </c>
      <c r="R28" s="319">
        <v>20</v>
      </c>
      <c r="S28" s="151">
        <v>35</v>
      </c>
      <c r="T28" s="151">
        <v>45</v>
      </c>
      <c r="U28" s="151">
        <v>55</v>
      </c>
      <c r="V28" s="353">
        <v>85</v>
      </c>
      <c r="W28" s="345"/>
      <c r="X28" s="393"/>
      <c r="Z28" s="177" t="s">
        <v>433</v>
      </c>
      <c r="AA28" s="177" t="s">
        <v>433</v>
      </c>
      <c r="AB28" s="177" t="s">
        <v>433</v>
      </c>
    </row>
    <row r="29" spans="1:28" ht="18">
      <c r="A29" s="565"/>
      <c r="B29" s="112" t="s">
        <v>519</v>
      </c>
      <c r="C29" s="153">
        <v>65</v>
      </c>
      <c r="D29" s="153">
        <v>30</v>
      </c>
      <c r="E29" s="153">
        <v>3</v>
      </c>
      <c r="F29" s="152">
        <v>27</v>
      </c>
      <c r="G29" s="152">
        <v>105</v>
      </c>
      <c r="H29" s="152">
        <v>36</v>
      </c>
      <c r="I29" s="153">
        <v>36</v>
      </c>
      <c r="J29" s="153">
        <v>16</v>
      </c>
      <c r="K29" s="153">
        <v>17</v>
      </c>
      <c r="L29" s="153">
        <v>6</v>
      </c>
      <c r="M29" s="153">
        <v>9</v>
      </c>
      <c r="N29" s="153">
        <v>7</v>
      </c>
      <c r="O29" s="335">
        <v>71</v>
      </c>
      <c r="P29" s="335">
        <v>125</v>
      </c>
      <c r="Q29" s="153">
        <v>30</v>
      </c>
      <c r="R29" s="153">
        <v>25</v>
      </c>
      <c r="S29" s="153">
        <v>21</v>
      </c>
      <c r="T29" s="153">
        <v>4</v>
      </c>
      <c r="U29" s="153">
        <v>33</v>
      </c>
      <c r="V29" s="316">
        <v>36</v>
      </c>
      <c r="W29" s="346"/>
      <c r="X29" s="394"/>
      <c r="Z29" s="177" t="s">
        <v>433</v>
      </c>
      <c r="AA29" s="177" t="s">
        <v>433</v>
      </c>
      <c r="AB29" s="177" t="s">
        <v>433</v>
      </c>
    </row>
    <row r="30" spans="1:28" ht="19" thickBot="1">
      <c r="A30" s="565"/>
      <c r="B30" s="112" t="s">
        <v>520</v>
      </c>
      <c r="C30" s="148" t="s">
        <v>7</v>
      </c>
      <c r="D30" s="148" t="s">
        <v>7</v>
      </c>
      <c r="E30" s="148" t="s">
        <v>797</v>
      </c>
      <c r="F30" s="148" t="s">
        <v>213</v>
      </c>
      <c r="G30" s="148" t="s">
        <v>213</v>
      </c>
      <c r="H30" s="148" t="s">
        <v>212</v>
      </c>
      <c r="I30" s="148" t="s">
        <v>212</v>
      </c>
      <c r="J30" s="148" t="s">
        <v>213</v>
      </c>
      <c r="K30" s="148" t="s">
        <v>212</v>
      </c>
      <c r="L30" s="148" t="s">
        <v>213</v>
      </c>
      <c r="M30" s="148" t="s">
        <v>212</v>
      </c>
      <c r="N30" s="148" t="s">
        <v>212</v>
      </c>
      <c r="O30" s="336" t="s">
        <v>212</v>
      </c>
      <c r="P30" s="355" t="s">
        <v>213</v>
      </c>
      <c r="Q30" s="148" t="s">
        <v>212</v>
      </c>
      <c r="R30" s="148" t="s">
        <v>213</v>
      </c>
      <c r="S30" s="148" t="s">
        <v>7</v>
      </c>
      <c r="T30" s="148" t="s">
        <v>7</v>
      </c>
      <c r="U30" s="148" t="s">
        <v>213</v>
      </c>
      <c r="V30" s="336" t="s">
        <v>212</v>
      </c>
      <c r="W30" s="344"/>
      <c r="X30" s="392"/>
      <c r="Z30" s="176" t="s">
        <v>7</v>
      </c>
      <c r="AA30" s="176" t="s">
        <v>212</v>
      </c>
      <c r="AB30" s="176" t="s">
        <v>9</v>
      </c>
    </row>
    <row r="31" spans="1:28" ht="19" thickBot="1">
      <c r="A31" s="126"/>
      <c r="B31" s="127"/>
      <c r="C31" s="127"/>
      <c r="D31" s="127"/>
      <c r="E31" s="127"/>
      <c r="F31" s="127"/>
      <c r="G31" s="127"/>
      <c r="H31" s="127"/>
      <c r="I31" s="127"/>
      <c r="J31" s="127"/>
      <c r="K31" s="127"/>
      <c r="L31" s="127"/>
      <c r="M31" s="127"/>
      <c r="N31" s="386"/>
      <c r="O31" s="386"/>
      <c r="P31" s="386"/>
      <c r="Q31" s="386"/>
      <c r="R31" s="386"/>
      <c r="S31" s="386"/>
      <c r="T31" s="386"/>
      <c r="U31" s="386"/>
      <c r="V31" s="386"/>
      <c r="W31" s="386"/>
      <c r="X31" s="386"/>
    </row>
    <row r="32" spans="1:28" ht="18" customHeight="1">
      <c r="A32" s="580" t="s">
        <v>523</v>
      </c>
      <c r="B32" s="581"/>
      <c r="C32" s="581"/>
      <c r="D32" s="581"/>
      <c r="E32" s="581"/>
      <c r="F32" s="581"/>
      <c r="G32" s="581"/>
      <c r="H32" s="581"/>
      <c r="I32" s="581"/>
      <c r="J32" s="581"/>
      <c r="K32" s="581"/>
      <c r="L32" s="581"/>
      <c r="M32" s="582"/>
      <c r="N32" s="387"/>
      <c r="O32" s="387"/>
      <c r="P32" s="387"/>
      <c r="Q32" s="387"/>
      <c r="R32" s="387"/>
      <c r="S32" s="387"/>
      <c r="T32" s="387"/>
      <c r="U32" s="387"/>
      <c r="V32" s="387"/>
      <c r="W32" s="387"/>
      <c r="X32" s="387"/>
    </row>
    <row r="33" spans="1:24" ht="18" customHeight="1">
      <c r="A33" s="583"/>
      <c r="B33" s="584"/>
      <c r="C33" s="584"/>
      <c r="D33" s="584"/>
      <c r="E33" s="584"/>
      <c r="F33" s="584"/>
      <c r="G33" s="584"/>
      <c r="H33" s="584"/>
      <c r="I33" s="584"/>
      <c r="J33" s="584"/>
      <c r="K33" s="584"/>
      <c r="L33" s="584"/>
      <c r="M33" s="585"/>
      <c r="N33" s="387"/>
      <c r="O33" s="387"/>
      <c r="P33" s="387"/>
      <c r="Q33" s="387"/>
      <c r="R33" s="387"/>
      <c r="S33" s="387"/>
      <c r="T33" s="387"/>
      <c r="U33" s="387"/>
      <c r="V33" s="387"/>
      <c r="W33" s="387"/>
      <c r="X33" s="387"/>
    </row>
    <row r="34" spans="1:24" ht="18" customHeight="1">
      <c r="A34" s="583"/>
      <c r="B34" s="584"/>
      <c r="C34" s="584"/>
      <c r="D34" s="584"/>
      <c r="E34" s="584"/>
      <c r="F34" s="584"/>
      <c r="G34" s="584"/>
      <c r="H34" s="584"/>
      <c r="I34" s="584"/>
      <c r="J34" s="584"/>
      <c r="K34" s="584"/>
      <c r="L34" s="584"/>
      <c r="M34" s="585"/>
      <c r="N34" s="387"/>
      <c r="O34" s="387"/>
      <c r="P34" s="387"/>
      <c r="Q34" s="387"/>
      <c r="R34" s="387"/>
      <c r="S34" s="387"/>
      <c r="T34" s="387"/>
      <c r="U34" s="387"/>
      <c r="V34" s="387"/>
      <c r="W34" s="387"/>
      <c r="X34" s="387"/>
    </row>
    <row r="35" spans="1:24" ht="18" customHeight="1" thickBot="1">
      <c r="A35" s="586"/>
      <c r="B35" s="587"/>
      <c r="C35" s="587"/>
      <c r="D35" s="587"/>
      <c r="E35" s="587"/>
      <c r="F35" s="587"/>
      <c r="G35" s="587"/>
      <c r="H35" s="587"/>
      <c r="I35" s="587"/>
      <c r="J35" s="587"/>
      <c r="K35" s="587"/>
      <c r="L35" s="587"/>
      <c r="M35" s="588"/>
      <c r="N35" s="387"/>
      <c r="O35" s="387"/>
      <c r="P35" s="387"/>
      <c r="Q35" s="387"/>
      <c r="R35" s="387"/>
      <c r="S35" s="387"/>
      <c r="T35" s="387"/>
      <c r="U35" s="387"/>
      <c r="V35" s="387"/>
      <c r="W35" s="387"/>
      <c r="X35" s="387"/>
    </row>
    <row r="36" spans="1:24" ht="18">
      <c r="A36" s="128" t="s">
        <v>507</v>
      </c>
      <c r="B36" s="600" t="s">
        <v>509</v>
      </c>
      <c r="C36" s="601"/>
      <c r="D36" s="601"/>
      <c r="E36" s="601"/>
      <c r="F36" s="601"/>
      <c r="G36" s="601"/>
      <c r="H36" s="601"/>
      <c r="I36" s="601"/>
      <c r="J36" s="601"/>
      <c r="K36" s="601"/>
      <c r="L36" s="601"/>
      <c r="M36" s="602"/>
      <c r="N36" s="388"/>
      <c r="O36" s="388"/>
      <c r="P36" s="388"/>
      <c r="Q36" s="388"/>
      <c r="R36" s="388"/>
      <c r="S36" s="388"/>
      <c r="T36" s="388"/>
      <c r="U36" s="388"/>
      <c r="V36" s="388"/>
      <c r="W36" s="388"/>
      <c r="X36" s="388"/>
    </row>
    <row r="37" spans="1:24" ht="18" customHeight="1">
      <c r="A37" s="129" t="s">
        <v>508</v>
      </c>
      <c r="B37" s="603" t="s">
        <v>510</v>
      </c>
      <c r="C37" s="604"/>
      <c r="D37" s="604"/>
      <c r="E37" s="604"/>
      <c r="F37" s="604"/>
      <c r="G37" s="604"/>
      <c r="H37" s="604"/>
      <c r="I37" s="604"/>
      <c r="J37" s="604"/>
      <c r="K37" s="604"/>
      <c r="L37" s="604"/>
      <c r="M37" s="605"/>
      <c r="N37" s="388"/>
      <c r="O37" s="388"/>
      <c r="P37" s="388"/>
      <c r="Q37" s="388"/>
      <c r="R37" s="388"/>
      <c r="S37" s="388"/>
      <c r="T37" s="388"/>
      <c r="U37" s="388"/>
      <c r="V37" s="388"/>
      <c r="W37" s="388"/>
      <c r="X37" s="388"/>
    </row>
    <row r="38" spans="1:24" ht="18">
      <c r="A38" s="130" t="s">
        <v>511</v>
      </c>
      <c r="B38" s="603" t="s">
        <v>512</v>
      </c>
      <c r="C38" s="604"/>
      <c r="D38" s="604"/>
      <c r="E38" s="604"/>
      <c r="F38" s="604"/>
      <c r="G38" s="604"/>
      <c r="H38" s="604"/>
      <c r="I38" s="604"/>
      <c r="J38" s="604"/>
      <c r="K38" s="604"/>
      <c r="L38" s="604"/>
      <c r="M38" s="605"/>
      <c r="N38" s="388"/>
      <c r="O38" s="388"/>
      <c r="P38" s="388"/>
      <c r="Q38" s="388"/>
      <c r="R38" s="388"/>
      <c r="S38" s="388"/>
      <c r="T38" s="388"/>
      <c r="U38" s="388"/>
      <c r="V38" s="388"/>
      <c r="W38" s="388"/>
      <c r="X38" s="388"/>
    </row>
    <row r="39" spans="1:24" ht="19" thickBot="1">
      <c r="A39" s="131" t="s">
        <v>514</v>
      </c>
      <c r="B39" s="574" t="s">
        <v>513</v>
      </c>
      <c r="C39" s="575"/>
      <c r="D39" s="575"/>
      <c r="E39" s="575"/>
      <c r="F39" s="575"/>
      <c r="G39" s="575"/>
      <c r="H39" s="575"/>
      <c r="I39" s="575"/>
      <c r="J39" s="575"/>
      <c r="K39" s="575"/>
      <c r="L39" s="575"/>
      <c r="M39" s="576"/>
      <c r="N39" s="388"/>
      <c r="O39" s="388"/>
      <c r="P39" s="388"/>
      <c r="Q39" s="388"/>
      <c r="R39" s="388"/>
      <c r="S39" s="388"/>
      <c r="T39" s="388"/>
      <c r="U39" s="388"/>
      <c r="V39" s="388"/>
      <c r="W39" s="388"/>
      <c r="X39" s="388"/>
    </row>
    <row r="41" spans="1:24" ht="137" hidden="1">
      <c r="A41" s="258" t="s">
        <v>397</v>
      </c>
      <c r="B41" s="258" t="s">
        <v>406</v>
      </c>
      <c r="C41" s="259" t="str">
        <f>C3</f>
        <v>Avoine noire</v>
      </c>
      <c r="D41" s="259" t="str">
        <f t="shared" ref="D41:W41" si="0">D3</f>
        <v>Avoine rude</v>
      </c>
      <c r="E41" s="259" t="str">
        <f t="shared" si="0"/>
        <v>Cameline</v>
      </c>
      <c r="F41" s="259" t="str">
        <f t="shared" si="0"/>
        <v>Fenugrec</v>
      </c>
      <c r="G41" s="259" t="str">
        <f t="shared" si="0"/>
        <v>Feverole de printemps précoce</v>
      </c>
      <c r="H41" s="259" t="str">
        <f t="shared" si="0"/>
        <v>Gesse</v>
      </c>
      <c r="I41" s="259" t="str">
        <f t="shared" si="0"/>
        <v>Lentille fourragere</v>
      </c>
      <c r="J41" s="259" t="str">
        <f t="shared" si="0"/>
        <v>Lin de printemps (graine)</v>
      </c>
      <c r="K41" s="259" t="str">
        <f t="shared" si="0"/>
        <v>Luzerne</v>
      </c>
      <c r="L41" s="259" t="str">
        <f t="shared" si="0"/>
        <v>Navette fourragere</v>
      </c>
      <c r="M41" s="259" t="str">
        <f t="shared" si="0"/>
        <v>Nyger</v>
      </c>
      <c r="N41" s="259" t="str">
        <f t="shared" si="0"/>
        <v>Phacelie</v>
      </c>
      <c r="O41" s="259" t="str">
        <f t="shared" si="0"/>
        <v>Pois fourrager de printemps</v>
      </c>
      <c r="P41" s="259" t="str">
        <f t="shared" si="0"/>
        <v>Pois protéagineux</v>
      </c>
      <c r="Q41" s="259" t="str">
        <f t="shared" si="0"/>
        <v>Sarrasin</v>
      </c>
      <c r="R41" s="259" t="str">
        <f t="shared" si="0"/>
        <v>Tournesol</v>
      </c>
      <c r="S41" s="259" t="str">
        <f t="shared" si="0"/>
        <v>Trefle Alexandrie monocoupe précoce</v>
      </c>
      <c r="T41" s="259" t="str">
        <f t="shared" si="0"/>
        <v>Trefle blanc nain</v>
      </c>
      <c r="U41" s="259" t="str">
        <f t="shared" si="0"/>
        <v>Vesce commune de printemps</v>
      </c>
      <c r="V41" s="259" t="str">
        <f t="shared" si="0"/>
        <v>Vesce pourpre précoce</v>
      </c>
      <c r="W41" s="259" t="str">
        <f t="shared" si="0"/>
        <v>Nouvelle espece</v>
      </c>
      <c r="X41" s="317"/>
    </row>
    <row r="42" spans="1:24" ht="18" hidden="1" customHeight="1">
      <c r="A42" s="577" t="s">
        <v>398</v>
      </c>
      <c r="B42" s="260" t="s">
        <v>486</v>
      </c>
      <c r="C42" s="261">
        <f t="shared" ref="C42:V42" si="1">MATCH(C4,Classes_configuration_systeme_racinaire_PS,0)</f>
        <v>1</v>
      </c>
      <c r="D42" s="261">
        <f t="shared" si="1"/>
        <v>1</v>
      </c>
      <c r="E42" s="261">
        <f t="shared" si="1"/>
        <v>3</v>
      </c>
      <c r="F42" s="261">
        <f t="shared" si="1"/>
        <v>3</v>
      </c>
      <c r="G42" s="261">
        <f t="shared" si="1"/>
        <v>3</v>
      </c>
      <c r="H42" s="261">
        <f t="shared" si="1"/>
        <v>1</v>
      </c>
      <c r="I42" s="261">
        <f t="shared" si="1"/>
        <v>2</v>
      </c>
      <c r="J42" s="261">
        <f t="shared" si="1"/>
        <v>3</v>
      </c>
      <c r="K42" s="261">
        <f t="shared" si="1"/>
        <v>3</v>
      </c>
      <c r="L42" s="261">
        <f t="shared" si="1"/>
        <v>3</v>
      </c>
      <c r="M42" s="262">
        <f t="shared" si="1"/>
        <v>2</v>
      </c>
      <c r="N42" s="262">
        <f t="shared" si="1"/>
        <v>2</v>
      </c>
      <c r="O42" s="262">
        <f t="shared" si="1"/>
        <v>2</v>
      </c>
      <c r="P42" s="261">
        <f t="shared" si="1"/>
        <v>2</v>
      </c>
      <c r="Q42" s="261">
        <f t="shared" si="1"/>
        <v>2</v>
      </c>
      <c r="R42" s="261">
        <f t="shared" si="1"/>
        <v>3</v>
      </c>
      <c r="S42" s="261">
        <f t="shared" si="1"/>
        <v>1</v>
      </c>
      <c r="T42" s="261">
        <f t="shared" si="1"/>
        <v>1</v>
      </c>
      <c r="U42" s="261">
        <f t="shared" si="1"/>
        <v>1</v>
      </c>
      <c r="V42" s="261">
        <f t="shared" si="1"/>
        <v>1</v>
      </c>
      <c r="W42" s="347" t="e">
        <f t="shared" ref="W42" si="2">MATCH(W4,Classes_configuration_systeme_racinaire_PS,0)</f>
        <v>#N/A</v>
      </c>
      <c r="X42" s="313"/>
    </row>
    <row r="43" spans="1:24" ht="18" hidden="1">
      <c r="A43" s="577"/>
      <c r="B43" s="260" t="s">
        <v>29</v>
      </c>
      <c r="C43" s="261">
        <f t="shared" ref="C43:V43" si="3">MATCH(C5,Classes_Hauteur_PS,0)</f>
        <v>3</v>
      </c>
      <c r="D43" s="261">
        <f t="shared" si="3"/>
        <v>3</v>
      </c>
      <c r="E43" s="261">
        <f t="shared" si="3"/>
        <v>2</v>
      </c>
      <c r="F43" s="261">
        <f t="shared" si="3"/>
        <v>2</v>
      </c>
      <c r="G43" s="261">
        <f t="shared" si="3"/>
        <v>3</v>
      </c>
      <c r="H43" s="261">
        <f t="shared" si="3"/>
        <v>2</v>
      </c>
      <c r="I43" s="261">
        <f t="shared" si="3"/>
        <v>1</v>
      </c>
      <c r="J43" s="261">
        <f t="shared" si="3"/>
        <v>2</v>
      </c>
      <c r="K43" s="261">
        <f t="shared" si="3"/>
        <v>2</v>
      </c>
      <c r="L43" s="261">
        <f t="shared" si="3"/>
        <v>3</v>
      </c>
      <c r="M43" s="261">
        <f t="shared" si="3"/>
        <v>3</v>
      </c>
      <c r="N43" s="261">
        <f t="shared" si="3"/>
        <v>3</v>
      </c>
      <c r="O43" s="261">
        <f t="shared" si="3"/>
        <v>2</v>
      </c>
      <c r="P43" s="261">
        <f t="shared" si="3"/>
        <v>2</v>
      </c>
      <c r="Q43" s="261">
        <f t="shared" si="3"/>
        <v>2</v>
      </c>
      <c r="R43" s="261">
        <f t="shared" si="3"/>
        <v>3</v>
      </c>
      <c r="S43" s="261">
        <f t="shared" si="3"/>
        <v>2</v>
      </c>
      <c r="T43" s="261">
        <f t="shared" si="3"/>
        <v>1</v>
      </c>
      <c r="U43" s="261">
        <f t="shared" si="3"/>
        <v>2</v>
      </c>
      <c r="V43" s="261">
        <f t="shared" si="3"/>
        <v>2</v>
      </c>
      <c r="W43" s="347" t="e">
        <f t="shared" ref="W43" si="4">MATCH(W5,Classes_Hauteur_PS,0)</f>
        <v>#N/A</v>
      </c>
      <c r="X43" s="313"/>
    </row>
    <row r="44" spans="1:24" ht="18" hidden="1">
      <c r="A44" s="577"/>
      <c r="B44" s="260" t="s">
        <v>343</v>
      </c>
      <c r="C44" s="261">
        <f t="shared" ref="C44:V44" si="5">MATCH(C6,Classes_Potentiel_Production_Biomasse_PS,0)</f>
        <v>2</v>
      </c>
      <c r="D44" s="261">
        <f t="shared" si="5"/>
        <v>3</v>
      </c>
      <c r="E44" s="261">
        <f t="shared" si="5"/>
        <v>2</v>
      </c>
      <c r="F44" s="261">
        <f t="shared" si="5"/>
        <v>1</v>
      </c>
      <c r="G44" s="261">
        <f t="shared" si="5"/>
        <v>3</v>
      </c>
      <c r="H44" s="261">
        <f t="shared" si="5"/>
        <v>2</v>
      </c>
      <c r="I44" s="261">
        <f t="shared" si="5"/>
        <v>2</v>
      </c>
      <c r="J44" s="261">
        <f t="shared" si="5"/>
        <v>1</v>
      </c>
      <c r="K44" s="261">
        <f t="shared" si="5"/>
        <v>3</v>
      </c>
      <c r="L44" s="261">
        <f t="shared" si="5"/>
        <v>2</v>
      </c>
      <c r="M44" s="261">
        <f t="shared" si="5"/>
        <v>2</v>
      </c>
      <c r="N44" s="261">
        <f t="shared" si="5"/>
        <v>3</v>
      </c>
      <c r="O44" s="261">
        <f t="shared" si="5"/>
        <v>3</v>
      </c>
      <c r="P44" s="261">
        <f t="shared" si="5"/>
        <v>2</v>
      </c>
      <c r="Q44" s="261">
        <f t="shared" si="5"/>
        <v>2</v>
      </c>
      <c r="R44" s="261">
        <f t="shared" si="5"/>
        <v>3</v>
      </c>
      <c r="S44" s="261">
        <f t="shared" si="5"/>
        <v>2</v>
      </c>
      <c r="T44" s="261">
        <f t="shared" si="5"/>
        <v>1</v>
      </c>
      <c r="U44" s="261">
        <f t="shared" si="5"/>
        <v>2</v>
      </c>
      <c r="V44" s="261">
        <f t="shared" si="5"/>
        <v>3</v>
      </c>
      <c r="W44" s="347" t="e">
        <f t="shared" ref="W44" si="6">MATCH(W6,Classes_Potentiel_Production_Biomasse_PS,0)</f>
        <v>#N/A</v>
      </c>
      <c r="X44" s="313"/>
    </row>
    <row r="45" spans="1:24" ht="18" hidden="1">
      <c r="A45" s="577"/>
      <c r="B45" s="260" t="s">
        <v>381</v>
      </c>
      <c r="C45" s="261">
        <f t="shared" ref="C45:V45" si="7">MATCH(C7,Classes_profondeur_systeme_racinaire_PS,0)</f>
        <v>2</v>
      </c>
      <c r="D45" s="357">
        <f t="shared" si="7"/>
        <v>2</v>
      </c>
      <c r="E45" s="261">
        <f t="shared" si="7"/>
        <v>3</v>
      </c>
      <c r="F45" s="261">
        <f t="shared" si="7"/>
        <v>2</v>
      </c>
      <c r="G45" s="263">
        <f t="shared" si="7"/>
        <v>3</v>
      </c>
      <c r="H45" s="357">
        <f t="shared" si="7"/>
        <v>2</v>
      </c>
      <c r="I45" s="261">
        <f t="shared" si="7"/>
        <v>1</v>
      </c>
      <c r="J45" s="261">
        <f t="shared" si="7"/>
        <v>3</v>
      </c>
      <c r="K45" s="261">
        <f t="shared" si="7"/>
        <v>3</v>
      </c>
      <c r="L45" s="261">
        <f t="shared" si="7"/>
        <v>3</v>
      </c>
      <c r="M45" s="261">
        <f t="shared" si="7"/>
        <v>3</v>
      </c>
      <c r="N45" s="356">
        <f t="shared" si="7"/>
        <v>3</v>
      </c>
      <c r="O45" s="356">
        <f t="shared" si="7"/>
        <v>3</v>
      </c>
      <c r="P45" s="261">
        <f t="shared" si="7"/>
        <v>3</v>
      </c>
      <c r="Q45" s="261">
        <f t="shared" si="7"/>
        <v>2</v>
      </c>
      <c r="R45" s="261">
        <f t="shared" si="7"/>
        <v>3</v>
      </c>
      <c r="S45" s="261">
        <f t="shared" si="7"/>
        <v>2</v>
      </c>
      <c r="T45" s="261">
        <f t="shared" si="7"/>
        <v>2</v>
      </c>
      <c r="U45" s="261">
        <f t="shared" si="7"/>
        <v>1</v>
      </c>
      <c r="V45" s="261">
        <f t="shared" si="7"/>
        <v>1</v>
      </c>
      <c r="W45" s="347" t="e">
        <f t="shared" ref="W45" si="8">MATCH(W7,Classes_profondeur_systeme_racinaire_PS,0)</f>
        <v>#N/A</v>
      </c>
      <c r="X45" s="313"/>
    </row>
    <row r="46" spans="1:24" ht="18" hidden="1">
      <c r="A46" s="577"/>
      <c r="B46" s="260" t="s">
        <v>330</v>
      </c>
      <c r="C46" s="261">
        <f t="shared" ref="C46:V46" si="9">MATCH(C8,Classes_Surface_Feuille_PS,0)</f>
        <v>3</v>
      </c>
      <c r="D46" s="261">
        <f t="shared" si="9"/>
        <v>3</v>
      </c>
      <c r="E46" s="261">
        <f t="shared" si="9"/>
        <v>2</v>
      </c>
      <c r="F46" s="261">
        <f t="shared" si="9"/>
        <v>1</v>
      </c>
      <c r="G46" s="261">
        <f t="shared" si="9"/>
        <v>3</v>
      </c>
      <c r="H46" s="261">
        <f t="shared" si="9"/>
        <v>2</v>
      </c>
      <c r="I46" s="261">
        <f t="shared" si="9"/>
        <v>1</v>
      </c>
      <c r="J46" s="261">
        <f t="shared" si="9"/>
        <v>1</v>
      </c>
      <c r="K46" s="261">
        <f t="shared" si="9"/>
        <v>2</v>
      </c>
      <c r="L46" s="261">
        <f t="shared" si="9"/>
        <v>3</v>
      </c>
      <c r="M46" s="261">
        <f t="shared" si="9"/>
        <v>3</v>
      </c>
      <c r="N46" s="261">
        <f t="shared" si="9"/>
        <v>3</v>
      </c>
      <c r="O46" s="261">
        <f t="shared" si="9"/>
        <v>3</v>
      </c>
      <c r="P46" s="261">
        <f t="shared" si="9"/>
        <v>3</v>
      </c>
      <c r="Q46" s="261">
        <f t="shared" si="9"/>
        <v>2</v>
      </c>
      <c r="R46" s="261">
        <f t="shared" si="9"/>
        <v>3</v>
      </c>
      <c r="S46" s="261">
        <f t="shared" si="9"/>
        <v>2</v>
      </c>
      <c r="T46" s="261">
        <f t="shared" si="9"/>
        <v>1</v>
      </c>
      <c r="U46" s="261">
        <f t="shared" si="9"/>
        <v>2</v>
      </c>
      <c r="V46" s="261">
        <f t="shared" si="9"/>
        <v>2</v>
      </c>
      <c r="W46" s="347" t="e">
        <f t="shared" ref="W46" si="10">MATCH(W8,Classes_Surface_Feuille_PS,0)</f>
        <v>#N/A</v>
      </c>
      <c r="X46" s="313"/>
    </row>
    <row r="47" spans="1:24" ht="18" hidden="1">
      <c r="A47" s="577"/>
      <c r="B47" s="260" t="s">
        <v>34</v>
      </c>
      <c r="C47" s="261">
        <f t="shared" ref="C47:V47" si="11">MATCH(C9,Classes_Teneur_N_PS,0)</f>
        <v>1</v>
      </c>
      <c r="D47" s="261">
        <f t="shared" si="11"/>
        <v>1</v>
      </c>
      <c r="E47" s="261">
        <f t="shared" si="11"/>
        <v>1</v>
      </c>
      <c r="F47" s="261">
        <f t="shared" si="11"/>
        <v>2</v>
      </c>
      <c r="G47" s="261">
        <f t="shared" si="11"/>
        <v>3</v>
      </c>
      <c r="H47" s="261">
        <f t="shared" si="11"/>
        <v>3</v>
      </c>
      <c r="I47" s="261">
        <f t="shared" si="11"/>
        <v>2</v>
      </c>
      <c r="J47" s="261">
        <f t="shared" si="11"/>
        <v>1</v>
      </c>
      <c r="K47" s="261">
        <f t="shared" si="11"/>
        <v>1</v>
      </c>
      <c r="L47" s="261">
        <f t="shared" si="11"/>
        <v>1</v>
      </c>
      <c r="M47" s="261">
        <f t="shared" si="11"/>
        <v>1</v>
      </c>
      <c r="N47" s="261">
        <f t="shared" si="11"/>
        <v>1</v>
      </c>
      <c r="O47" s="261">
        <f t="shared" si="11"/>
        <v>3</v>
      </c>
      <c r="P47" s="261">
        <f t="shared" si="11"/>
        <v>2</v>
      </c>
      <c r="Q47" s="261">
        <f t="shared" si="11"/>
        <v>1</v>
      </c>
      <c r="R47" s="261">
        <f t="shared" si="11"/>
        <v>1</v>
      </c>
      <c r="S47" s="261">
        <f t="shared" si="11"/>
        <v>2</v>
      </c>
      <c r="T47" s="261">
        <f t="shared" si="11"/>
        <v>2</v>
      </c>
      <c r="U47" s="261">
        <f t="shared" si="11"/>
        <v>2</v>
      </c>
      <c r="V47" s="261">
        <f t="shared" si="11"/>
        <v>2</v>
      </c>
      <c r="W47" s="347" t="e">
        <f t="shared" ref="W47" si="12">MATCH(W9,Classes_Teneur_N_PS,0)</f>
        <v>#N/A</v>
      </c>
      <c r="X47" s="313"/>
    </row>
    <row r="48" spans="1:24" ht="18" hidden="1">
      <c r="A48" s="577"/>
      <c r="B48" s="260" t="s">
        <v>33</v>
      </c>
      <c r="C48" s="261">
        <f t="shared" ref="C48:V48" si="13">MATCH(C10,Classes_tenue_tige_PS,0)</f>
        <v>1</v>
      </c>
      <c r="D48" s="261">
        <f t="shared" si="13"/>
        <v>1</v>
      </c>
      <c r="E48" s="261">
        <f t="shared" si="13"/>
        <v>1</v>
      </c>
      <c r="F48" s="261">
        <f t="shared" si="13"/>
        <v>1</v>
      </c>
      <c r="G48" s="261">
        <f t="shared" si="13"/>
        <v>1</v>
      </c>
      <c r="H48" s="261">
        <f t="shared" si="13"/>
        <v>1</v>
      </c>
      <c r="I48" s="261">
        <f t="shared" si="13"/>
        <v>1</v>
      </c>
      <c r="J48" s="261">
        <f t="shared" si="13"/>
        <v>1</v>
      </c>
      <c r="K48" s="261">
        <f t="shared" si="13"/>
        <v>1</v>
      </c>
      <c r="L48" s="261">
        <f t="shared" si="13"/>
        <v>1</v>
      </c>
      <c r="M48" s="261">
        <f t="shared" si="13"/>
        <v>1</v>
      </c>
      <c r="N48" s="261">
        <f t="shared" si="13"/>
        <v>1</v>
      </c>
      <c r="O48" s="261">
        <f t="shared" si="13"/>
        <v>2</v>
      </c>
      <c r="P48" s="261">
        <f t="shared" si="13"/>
        <v>2</v>
      </c>
      <c r="Q48" s="261">
        <f t="shared" si="13"/>
        <v>1</v>
      </c>
      <c r="R48" s="261">
        <f t="shared" si="13"/>
        <v>1</v>
      </c>
      <c r="S48" s="261">
        <f t="shared" si="13"/>
        <v>1</v>
      </c>
      <c r="T48" s="261">
        <f t="shared" si="13"/>
        <v>1</v>
      </c>
      <c r="U48" s="261">
        <f t="shared" si="13"/>
        <v>1</v>
      </c>
      <c r="V48" s="261">
        <f t="shared" si="13"/>
        <v>1</v>
      </c>
      <c r="W48" s="347" t="e">
        <f t="shared" ref="W48" si="14">MATCH(W10,Classes_tenue_tige_PS,0)</f>
        <v>#N/A</v>
      </c>
      <c r="X48" s="313"/>
    </row>
    <row r="49" spans="1:24" ht="18" hidden="1">
      <c r="A49" s="577"/>
      <c r="B49" s="260" t="s">
        <v>31</v>
      </c>
      <c r="C49" s="261">
        <f t="shared" ref="C49:V49" si="15">MATCH(C11,Classes_Vitesse_Croissance_PS,0)</f>
        <v>2</v>
      </c>
      <c r="D49" s="261">
        <f t="shared" si="15"/>
        <v>3</v>
      </c>
      <c r="E49" s="261">
        <f t="shared" si="15"/>
        <v>3</v>
      </c>
      <c r="F49" s="261">
        <f t="shared" si="15"/>
        <v>2</v>
      </c>
      <c r="G49" s="261">
        <f t="shared" si="15"/>
        <v>2</v>
      </c>
      <c r="H49" s="261">
        <f t="shared" si="15"/>
        <v>2</v>
      </c>
      <c r="I49" s="261">
        <f t="shared" si="15"/>
        <v>3</v>
      </c>
      <c r="J49" s="261">
        <f t="shared" si="15"/>
        <v>2</v>
      </c>
      <c r="K49" s="261">
        <f t="shared" si="15"/>
        <v>2</v>
      </c>
      <c r="L49" s="261">
        <f t="shared" si="15"/>
        <v>3</v>
      </c>
      <c r="M49" s="261">
        <f t="shared" si="15"/>
        <v>2</v>
      </c>
      <c r="N49" s="261">
        <f t="shared" si="15"/>
        <v>3</v>
      </c>
      <c r="O49" s="261">
        <f t="shared" si="15"/>
        <v>2</v>
      </c>
      <c r="P49" s="261">
        <f t="shared" si="15"/>
        <v>2</v>
      </c>
      <c r="Q49" s="261">
        <f t="shared" si="15"/>
        <v>3</v>
      </c>
      <c r="R49" s="261">
        <f t="shared" si="15"/>
        <v>2</v>
      </c>
      <c r="S49" s="264">
        <f t="shared" si="15"/>
        <v>2</v>
      </c>
      <c r="T49" s="261">
        <f t="shared" si="15"/>
        <v>1</v>
      </c>
      <c r="U49" s="264">
        <f t="shared" si="15"/>
        <v>2</v>
      </c>
      <c r="V49" s="261">
        <f t="shared" si="15"/>
        <v>3</v>
      </c>
      <c r="W49" s="347" t="e">
        <f t="shared" ref="W49" si="16">MATCH(W11,Classes_Vitesse_Croissance_PS,0)</f>
        <v>#N/A</v>
      </c>
      <c r="X49" s="313"/>
    </row>
    <row r="50" spans="1:24" ht="18" hidden="1">
      <c r="A50" s="567" t="s">
        <v>399</v>
      </c>
      <c r="B50" s="265" t="s">
        <v>36</v>
      </c>
      <c r="C50" s="261">
        <f t="shared" ref="C50:V50" si="17">MATCH(C12,Classes_biomasse_morte_contact_sol_PS,0)</f>
        <v>3</v>
      </c>
      <c r="D50" s="261">
        <f t="shared" si="17"/>
        <v>3</v>
      </c>
      <c r="E50" s="261">
        <f t="shared" si="17"/>
        <v>2</v>
      </c>
      <c r="F50" s="261">
        <f t="shared" si="17"/>
        <v>1</v>
      </c>
      <c r="G50" s="261">
        <f t="shared" si="17"/>
        <v>1</v>
      </c>
      <c r="H50" s="261">
        <f t="shared" si="17"/>
        <v>3</v>
      </c>
      <c r="I50" s="261">
        <f t="shared" si="17"/>
        <v>3</v>
      </c>
      <c r="J50" s="261">
        <f t="shared" si="17"/>
        <v>1</v>
      </c>
      <c r="K50" s="261">
        <f t="shared" si="17"/>
        <v>1</v>
      </c>
      <c r="L50" s="261">
        <f t="shared" si="17"/>
        <v>3</v>
      </c>
      <c r="M50" s="261">
        <f t="shared" si="17"/>
        <v>3</v>
      </c>
      <c r="N50" s="261">
        <f t="shared" si="17"/>
        <v>1</v>
      </c>
      <c r="O50" s="261">
        <f t="shared" si="17"/>
        <v>2</v>
      </c>
      <c r="P50" s="261">
        <f t="shared" si="17"/>
        <v>3</v>
      </c>
      <c r="Q50" s="261">
        <f t="shared" si="17"/>
        <v>2</v>
      </c>
      <c r="R50" s="261">
        <f t="shared" si="17"/>
        <v>2</v>
      </c>
      <c r="S50" s="261">
        <f t="shared" si="17"/>
        <v>2</v>
      </c>
      <c r="T50" s="261">
        <f t="shared" si="17"/>
        <v>3</v>
      </c>
      <c r="U50" s="261">
        <f t="shared" si="17"/>
        <v>3</v>
      </c>
      <c r="V50" s="261">
        <f t="shared" si="17"/>
        <v>3</v>
      </c>
      <c r="W50" s="347" t="e">
        <f t="shared" ref="W50" si="18">MATCH(W12,Classes_biomasse_morte_contact_sol_PS,0)</f>
        <v>#N/A</v>
      </c>
      <c r="X50" s="313"/>
    </row>
    <row r="51" spans="1:24" ht="18" hidden="1" customHeight="1">
      <c r="A51" s="567"/>
      <c r="B51" s="265" t="s">
        <v>35</v>
      </c>
      <c r="C51" s="261">
        <f t="shared" ref="C51:V51" si="19">MATCH(C13,Classes_fraction_soluble_PS,0)</f>
        <v>2</v>
      </c>
      <c r="D51" s="261">
        <f t="shared" si="19"/>
        <v>2</v>
      </c>
      <c r="E51" s="261">
        <f t="shared" si="19"/>
        <v>2</v>
      </c>
      <c r="F51" s="261">
        <f t="shared" si="19"/>
        <v>2</v>
      </c>
      <c r="G51" s="261">
        <f t="shared" si="19"/>
        <v>2</v>
      </c>
      <c r="H51" s="261">
        <f t="shared" si="19"/>
        <v>2</v>
      </c>
      <c r="I51" s="261">
        <f t="shared" si="19"/>
        <v>2</v>
      </c>
      <c r="J51" s="261">
        <f t="shared" si="19"/>
        <v>2</v>
      </c>
      <c r="K51" s="261">
        <f t="shared" si="19"/>
        <v>2</v>
      </c>
      <c r="L51" s="261">
        <f t="shared" si="19"/>
        <v>2</v>
      </c>
      <c r="M51" s="261">
        <f t="shared" si="19"/>
        <v>2</v>
      </c>
      <c r="N51" s="261">
        <f t="shared" si="19"/>
        <v>2</v>
      </c>
      <c r="O51" s="261">
        <f t="shared" si="19"/>
        <v>2</v>
      </c>
      <c r="P51" s="261">
        <f t="shared" si="19"/>
        <v>2</v>
      </c>
      <c r="Q51" s="261">
        <f t="shared" si="19"/>
        <v>2</v>
      </c>
      <c r="R51" s="261">
        <f t="shared" si="19"/>
        <v>2</v>
      </c>
      <c r="S51" s="261">
        <f t="shared" si="19"/>
        <v>2</v>
      </c>
      <c r="T51" s="261">
        <f t="shared" si="19"/>
        <v>2</v>
      </c>
      <c r="U51" s="261">
        <f t="shared" si="19"/>
        <v>2</v>
      </c>
      <c r="V51" s="261">
        <f t="shared" si="19"/>
        <v>2</v>
      </c>
      <c r="W51" s="347" t="e">
        <f t="shared" ref="W51" si="20">MATCH(W13,Classes_fraction_soluble_PS,0)</f>
        <v>#N/A</v>
      </c>
      <c r="X51" s="313"/>
    </row>
    <row r="52" spans="1:24" ht="18" hidden="1">
      <c r="A52" s="568" t="s">
        <v>400</v>
      </c>
      <c r="B52" s="266" t="s">
        <v>30</v>
      </c>
      <c r="C52" s="261">
        <f t="shared" ref="C52:V52" si="21">MATCH(C14,Classes_Nitrophilie_PS,0)</f>
        <v>1</v>
      </c>
      <c r="D52" s="261">
        <f t="shared" si="21"/>
        <v>1</v>
      </c>
      <c r="E52" s="261">
        <f t="shared" si="21"/>
        <v>1</v>
      </c>
      <c r="F52" s="261">
        <f t="shared" si="21"/>
        <v>1</v>
      </c>
      <c r="G52" s="261">
        <f t="shared" si="21"/>
        <v>2</v>
      </c>
      <c r="H52" s="261">
        <f t="shared" si="21"/>
        <v>2</v>
      </c>
      <c r="I52" s="261">
        <f t="shared" si="21"/>
        <v>1</v>
      </c>
      <c r="J52" s="261">
        <f t="shared" si="21"/>
        <v>2</v>
      </c>
      <c r="K52" s="261">
        <f t="shared" si="21"/>
        <v>2</v>
      </c>
      <c r="L52" s="261">
        <f t="shared" si="21"/>
        <v>2</v>
      </c>
      <c r="M52" s="261">
        <f t="shared" si="21"/>
        <v>3</v>
      </c>
      <c r="N52" s="261">
        <f t="shared" si="21"/>
        <v>3</v>
      </c>
      <c r="O52" s="261">
        <f t="shared" si="21"/>
        <v>2</v>
      </c>
      <c r="P52" s="261">
        <f t="shared" si="21"/>
        <v>3</v>
      </c>
      <c r="Q52" s="261">
        <f t="shared" si="21"/>
        <v>2</v>
      </c>
      <c r="R52" s="261">
        <f t="shared" si="21"/>
        <v>3</v>
      </c>
      <c r="S52" s="261">
        <f t="shared" si="21"/>
        <v>2</v>
      </c>
      <c r="T52" s="261">
        <f t="shared" si="21"/>
        <v>1</v>
      </c>
      <c r="U52" s="261">
        <f t="shared" si="21"/>
        <v>1</v>
      </c>
      <c r="V52" s="261">
        <f t="shared" si="21"/>
        <v>2</v>
      </c>
      <c r="W52" s="347" t="e">
        <f t="shared" ref="W52" si="22">MATCH(W14,Classes_Nitrophilie_PS,0)</f>
        <v>#N/A</v>
      </c>
      <c r="X52" s="313"/>
    </row>
    <row r="53" spans="1:24" ht="18" hidden="1" customHeight="1">
      <c r="A53" s="568"/>
      <c r="B53" s="266" t="s">
        <v>347</v>
      </c>
      <c r="C53" s="261">
        <f t="shared" ref="C53:V53" si="23">MATCH(C15,Classes_Preference_PH_PS,0)</f>
        <v>2</v>
      </c>
      <c r="D53" s="261">
        <f t="shared" si="23"/>
        <v>2</v>
      </c>
      <c r="E53" s="261">
        <f t="shared" si="23"/>
        <v>2</v>
      </c>
      <c r="F53" s="261">
        <f t="shared" si="23"/>
        <v>2</v>
      </c>
      <c r="G53" s="261">
        <f t="shared" si="23"/>
        <v>2</v>
      </c>
      <c r="H53" s="261">
        <f t="shared" si="23"/>
        <v>2</v>
      </c>
      <c r="I53" s="261">
        <f t="shared" si="23"/>
        <v>3</v>
      </c>
      <c r="J53" s="261">
        <f t="shared" si="23"/>
        <v>2</v>
      </c>
      <c r="K53" s="261">
        <f t="shared" si="23"/>
        <v>2</v>
      </c>
      <c r="L53" s="261">
        <f t="shared" si="23"/>
        <v>2</v>
      </c>
      <c r="M53" s="261">
        <f t="shared" si="23"/>
        <v>2</v>
      </c>
      <c r="N53" s="261">
        <f t="shared" si="23"/>
        <v>2</v>
      </c>
      <c r="O53" s="261">
        <f t="shared" si="23"/>
        <v>2</v>
      </c>
      <c r="P53" s="261">
        <f t="shared" si="23"/>
        <v>2</v>
      </c>
      <c r="Q53" s="261">
        <f t="shared" si="23"/>
        <v>2</v>
      </c>
      <c r="R53" s="261">
        <f t="shared" si="23"/>
        <v>2</v>
      </c>
      <c r="S53" s="261">
        <f t="shared" si="23"/>
        <v>2</v>
      </c>
      <c r="T53" s="261">
        <f t="shared" si="23"/>
        <v>2</v>
      </c>
      <c r="U53" s="261">
        <f t="shared" si="23"/>
        <v>2</v>
      </c>
      <c r="V53" s="261">
        <f t="shared" si="23"/>
        <v>2</v>
      </c>
      <c r="W53" s="347" t="e">
        <f t="shared" ref="W53" si="24">MATCH(W15,Classes_Preference_PH_PS,0)</f>
        <v>#N/A</v>
      </c>
      <c r="X53" s="313"/>
    </row>
    <row r="54" spans="1:24" ht="18" hidden="1">
      <c r="A54" s="568"/>
      <c r="B54" s="266" t="s">
        <v>26</v>
      </c>
      <c r="C54" s="261">
        <f t="shared" ref="C54:V54" si="25">MATCH(C16,Classes_PS_Fixatrice_N,0)</f>
        <v>2</v>
      </c>
      <c r="D54" s="261">
        <f t="shared" si="25"/>
        <v>2</v>
      </c>
      <c r="E54" s="261">
        <f t="shared" si="25"/>
        <v>2</v>
      </c>
      <c r="F54" s="261">
        <f t="shared" si="25"/>
        <v>1</v>
      </c>
      <c r="G54" s="261">
        <f t="shared" si="25"/>
        <v>1</v>
      </c>
      <c r="H54" s="261">
        <f t="shared" si="25"/>
        <v>1</v>
      </c>
      <c r="I54" s="261">
        <f t="shared" si="25"/>
        <v>1</v>
      </c>
      <c r="J54" s="261">
        <f t="shared" si="25"/>
        <v>2</v>
      </c>
      <c r="K54" s="261">
        <f t="shared" si="25"/>
        <v>1</v>
      </c>
      <c r="L54" s="261">
        <f t="shared" si="25"/>
        <v>2</v>
      </c>
      <c r="M54" s="261">
        <f t="shared" si="25"/>
        <v>2</v>
      </c>
      <c r="N54" s="261">
        <f t="shared" si="25"/>
        <v>2</v>
      </c>
      <c r="O54" s="261">
        <f t="shared" si="25"/>
        <v>1</v>
      </c>
      <c r="P54" s="261">
        <f t="shared" si="25"/>
        <v>1</v>
      </c>
      <c r="Q54" s="261">
        <f t="shared" si="25"/>
        <v>2</v>
      </c>
      <c r="R54" s="261">
        <f t="shared" si="25"/>
        <v>2</v>
      </c>
      <c r="S54" s="261">
        <f t="shared" si="25"/>
        <v>1</v>
      </c>
      <c r="T54" s="261">
        <f t="shared" si="25"/>
        <v>1</v>
      </c>
      <c r="U54" s="261">
        <f t="shared" si="25"/>
        <v>1</v>
      </c>
      <c r="V54" s="261">
        <f t="shared" si="25"/>
        <v>1</v>
      </c>
      <c r="W54" s="347" t="e">
        <f t="shared" ref="W54" si="26">MATCH(W16,Classes_PS_Fixatrice_N,0)</f>
        <v>#N/A</v>
      </c>
      <c r="X54" s="313"/>
    </row>
    <row r="55" spans="1:24" ht="18" hidden="1">
      <c r="A55" s="568"/>
      <c r="B55" s="266" t="s">
        <v>392</v>
      </c>
      <c r="C55" s="261">
        <f t="shared" ref="C55:V55" si="27">MATCH(C17,Classes_sensibilite_gel_PS,0)</f>
        <v>2</v>
      </c>
      <c r="D55" s="261">
        <f t="shared" si="27"/>
        <v>3</v>
      </c>
      <c r="E55" s="261">
        <f t="shared" si="27"/>
        <v>2</v>
      </c>
      <c r="F55" s="261">
        <f t="shared" si="27"/>
        <v>3</v>
      </c>
      <c r="G55" s="261">
        <f t="shared" si="27"/>
        <v>2</v>
      </c>
      <c r="H55" s="261">
        <f t="shared" si="27"/>
        <v>3</v>
      </c>
      <c r="I55" s="261">
        <f t="shared" si="27"/>
        <v>3</v>
      </c>
      <c r="J55" s="261">
        <f t="shared" si="27"/>
        <v>4</v>
      </c>
      <c r="K55" s="261">
        <f t="shared" si="27"/>
        <v>1</v>
      </c>
      <c r="L55" s="261">
        <f t="shared" si="27"/>
        <v>2</v>
      </c>
      <c r="M55" s="261">
        <f t="shared" si="27"/>
        <v>4</v>
      </c>
      <c r="N55" s="261">
        <f t="shared" si="27"/>
        <v>3</v>
      </c>
      <c r="O55" s="261">
        <f t="shared" si="27"/>
        <v>3</v>
      </c>
      <c r="P55" s="261">
        <f t="shared" si="27"/>
        <v>4</v>
      </c>
      <c r="Q55" s="261">
        <f t="shared" si="27"/>
        <v>4</v>
      </c>
      <c r="R55" s="261">
        <f t="shared" si="27"/>
        <v>4</v>
      </c>
      <c r="S55" s="261">
        <f t="shared" si="27"/>
        <v>3</v>
      </c>
      <c r="T55" s="261">
        <f t="shared" si="27"/>
        <v>1</v>
      </c>
      <c r="U55" s="261">
        <f t="shared" si="27"/>
        <v>2</v>
      </c>
      <c r="V55" s="261">
        <f t="shared" si="27"/>
        <v>3</v>
      </c>
      <c r="W55" s="347" t="e">
        <f t="shared" ref="W55" si="28">MATCH(W17,Classes_sensibilite_gel_PS,0)</f>
        <v>#N/A</v>
      </c>
      <c r="X55" s="313"/>
    </row>
    <row r="56" spans="1:24" ht="18" hidden="1">
      <c r="A56" s="568"/>
      <c r="B56" s="266" t="s">
        <v>332</v>
      </c>
      <c r="C56" s="261">
        <f t="shared" ref="C56:V56" si="29">MATCH(C18,Classes_Resistance_Secheresse_PS,0)</f>
        <v>3</v>
      </c>
      <c r="D56" s="261">
        <f t="shared" si="29"/>
        <v>3</v>
      </c>
      <c r="E56" s="261">
        <f t="shared" si="29"/>
        <v>1</v>
      </c>
      <c r="F56" s="261">
        <f t="shared" si="29"/>
        <v>3</v>
      </c>
      <c r="G56" s="261">
        <f t="shared" si="29"/>
        <v>1</v>
      </c>
      <c r="H56" s="261">
        <f t="shared" si="29"/>
        <v>3</v>
      </c>
      <c r="I56" s="261">
        <f t="shared" si="29"/>
        <v>3</v>
      </c>
      <c r="J56" s="261">
        <f t="shared" si="29"/>
        <v>2</v>
      </c>
      <c r="K56" s="261">
        <f t="shared" si="29"/>
        <v>3</v>
      </c>
      <c r="L56" s="261">
        <f t="shared" si="29"/>
        <v>1</v>
      </c>
      <c r="M56" s="261">
        <f t="shared" si="29"/>
        <v>1</v>
      </c>
      <c r="N56" s="261">
        <f t="shared" si="29"/>
        <v>3</v>
      </c>
      <c r="O56" s="261">
        <f t="shared" si="29"/>
        <v>1</v>
      </c>
      <c r="P56" s="261">
        <f t="shared" si="29"/>
        <v>1</v>
      </c>
      <c r="Q56" s="261">
        <f t="shared" si="29"/>
        <v>2</v>
      </c>
      <c r="R56" s="261">
        <f t="shared" si="29"/>
        <v>3</v>
      </c>
      <c r="S56" s="261">
        <f t="shared" si="29"/>
        <v>1</v>
      </c>
      <c r="T56" s="261">
        <f t="shared" si="29"/>
        <v>2</v>
      </c>
      <c r="U56" s="261">
        <f t="shared" si="29"/>
        <v>3</v>
      </c>
      <c r="V56" s="261">
        <f t="shared" si="29"/>
        <v>3</v>
      </c>
      <c r="W56" s="347" t="e">
        <f t="shared" ref="W56" si="30">MATCH(W18,Classes_Resistance_Secheresse_PS,0)</f>
        <v>#N/A</v>
      </c>
      <c r="X56" s="313"/>
    </row>
    <row r="57" spans="1:24" ht="18" hidden="1">
      <c r="A57" s="569" t="s">
        <v>401</v>
      </c>
      <c r="B57" s="267" t="s">
        <v>38</v>
      </c>
      <c r="C57" s="261">
        <f t="shared" ref="C57:V57" si="31">MATCH(C19,Classes_longueur_cycle_PS,0)</f>
        <v>2</v>
      </c>
      <c r="D57" s="261">
        <f t="shared" si="31"/>
        <v>2</v>
      </c>
      <c r="E57" s="261">
        <f t="shared" si="31"/>
        <v>1</v>
      </c>
      <c r="F57" s="261">
        <f t="shared" si="31"/>
        <v>2</v>
      </c>
      <c r="G57" s="261">
        <f t="shared" si="31"/>
        <v>2</v>
      </c>
      <c r="H57" s="261">
        <f t="shared" si="31"/>
        <v>2</v>
      </c>
      <c r="I57" s="261">
        <f t="shared" si="31"/>
        <v>2</v>
      </c>
      <c r="J57" s="261">
        <f t="shared" si="31"/>
        <v>1</v>
      </c>
      <c r="K57" s="261">
        <f t="shared" si="31"/>
        <v>1</v>
      </c>
      <c r="L57" s="261">
        <f t="shared" si="31"/>
        <v>1</v>
      </c>
      <c r="M57" s="261">
        <f t="shared" si="31"/>
        <v>3</v>
      </c>
      <c r="N57" s="261">
        <f t="shared" si="31"/>
        <v>3</v>
      </c>
      <c r="O57" s="261">
        <f t="shared" si="31"/>
        <v>2</v>
      </c>
      <c r="P57" s="261">
        <f t="shared" si="31"/>
        <v>3</v>
      </c>
      <c r="Q57" s="261">
        <f t="shared" si="31"/>
        <v>3</v>
      </c>
      <c r="R57" s="261">
        <f t="shared" si="31"/>
        <v>1</v>
      </c>
      <c r="S57" s="261">
        <f t="shared" si="31"/>
        <v>2</v>
      </c>
      <c r="T57" s="261">
        <f t="shared" si="31"/>
        <v>1</v>
      </c>
      <c r="U57" s="261">
        <f t="shared" si="31"/>
        <v>2</v>
      </c>
      <c r="V57" s="261">
        <f t="shared" si="31"/>
        <v>2</v>
      </c>
      <c r="W57" s="347" t="e">
        <f t="shared" ref="W57" si="32">MATCH(W19,Classes_longueur_cycle_PS,0)</f>
        <v>#N/A</v>
      </c>
      <c r="X57" s="313"/>
    </row>
    <row r="58" spans="1:24" ht="18" hidden="1">
      <c r="A58" s="569"/>
      <c r="B58" s="267" t="s">
        <v>388</v>
      </c>
      <c r="C58" s="261">
        <f t="shared" ref="C58:V58" si="33">MATCH(C20,Classes_precocite_PS,0)</f>
        <v>2</v>
      </c>
      <c r="D58" s="261">
        <f t="shared" si="33"/>
        <v>2</v>
      </c>
      <c r="E58" s="261">
        <f t="shared" si="33"/>
        <v>3</v>
      </c>
      <c r="F58" s="261">
        <f t="shared" si="33"/>
        <v>2</v>
      </c>
      <c r="G58" s="261">
        <f t="shared" si="33"/>
        <v>3</v>
      </c>
      <c r="H58" s="261">
        <f t="shared" si="33"/>
        <v>2</v>
      </c>
      <c r="I58" s="261">
        <f t="shared" si="33"/>
        <v>3</v>
      </c>
      <c r="J58" s="261">
        <f t="shared" si="33"/>
        <v>3</v>
      </c>
      <c r="K58" s="261">
        <f t="shared" si="33"/>
        <v>3</v>
      </c>
      <c r="L58" s="261">
        <f t="shared" si="33"/>
        <v>3</v>
      </c>
      <c r="M58" s="261">
        <f t="shared" si="33"/>
        <v>3</v>
      </c>
      <c r="N58" s="261">
        <f t="shared" si="33"/>
        <v>3</v>
      </c>
      <c r="O58" s="261">
        <f t="shared" si="33"/>
        <v>3</v>
      </c>
      <c r="P58" s="261">
        <f t="shared" si="33"/>
        <v>2</v>
      </c>
      <c r="Q58" s="261">
        <f t="shared" si="33"/>
        <v>3</v>
      </c>
      <c r="R58" s="261">
        <f t="shared" si="33"/>
        <v>2</v>
      </c>
      <c r="S58" s="264">
        <f t="shared" si="33"/>
        <v>3</v>
      </c>
      <c r="T58" s="261">
        <f t="shared" si="33"/>
        <v>1</v>
      </c>
      <c r="U58" s="264">
        <f t="shared" si="33"/>
        <v>3</v>
      </c>
      <c r="V58" s="261">
        <f t="shared" si="33"/>
        <v>3</v>
      </c>
      <c r="W58" s="347" t="e">
        <f t="shared" ref="W58" si="34">MATCH(W20,Classes_precocite_PS,0)</f>
        <v>#N/A</v>
      </c>
      <c r="X58" s="313"/>
    </row>
    <row r="59" spans="1:24" ht="18" hidden="1">
      <c r="A59" s="570" t="s">
        <v>405</v>
      </c>
      <c r="B59" s="268" t="s">
        <v>342</v>
      </c>
      <c r="C59" s="261">
        <f t="shared" ref="C59:V59" si="35">MATCH(C21,Classes_Allelopathie_PS,0)</f>
        <v>1</v>
      </c>
      <c r="D59" s="261">
        <f t="shared" si="35"/>
        <v>2</v>
      </c>
      <c r="E59" s="261">
        <f t="shared" si="35"/>
        <v>2</v>
      </c>
      <c r="F59" s="261">
        <f t="shared" si="35"/>
        <v>1</v>
      </c>
      <c r="G59" s="261">
        <f t="shared" si="35"/>
        <v>1</v>
      </c>
      <c r="H59" s="261">
        <f t="shared" si="35"/>
        <v>1</v>
      </c>
      <c r="I59" s="261">
        <f t="shared" si="35"/>
        <v>1</v>
      </c>
      <c r="J59" s="261">
        <f t="shared" si="35"/>
        <v>2</v>
      </c>
      <c r="K59" s="261">
        <f t="shared" si="35"/>
        <v>1</v>
      </c>
      <c r="L59" s="261">
        <f t="shared" si="35"/>
        <v>1</v>
      </c>
      <c r="M59" s="261">
        <f t="shared" si="35"/>
        <v>1</v>
      </c>
      <c r="N59" s="261">
        <f t="shared" si="35"/>
        <v>1</v>
      </c>
      <c r="O59" s="261">
        <f t="shared" si="35"/>
        <v>1</v>
      </c>
      <c r="P59" s="261">
        <f t="shared" si="35"/>
        <v>1</v>
      </c>
      <c r="Q59" s="261">
        <f t="shared" si="35"/>
        <v>2</v>
      </c>
      <c r="R59" s="261">
        <f t="shared" si="35"/>
        <v>2</v>
      </c>
      <c r="S59" s="261">
        <f t="shared" si="35"/>
        <v>1</v>
      </c>
      <c r="T59" s="261">
        <f t="shared" si="35"/>
        <v>2</v>
      </c>
      <c r="U59" s="261">
        <f t="shared" si="35"/>
        <v>1</v>
      </c>
      <c r="V59" s="261">
        <f t="shared" si="35"/>
        <v>1</v>
      </c>
      <c r="W59" s="347" t="e">
        <f t="shared" ref="W59" si="36">MATCH(W21,Classes_Allelopathie_PS,0)</f>
        <v>#N/A</v>
      </c>
      <c r="X59" s="313"/>
    </row>
    <row r="60" spans="1:24" ht="18" hidden="1">
      <c r="A60" s="570"/>
      <c r="B60" s="268" t="s">
        <v>393</v>
      </c>
      <c r="C60" s="261" t="str">
        <f t="shared" ref="C60:V60" si="37">IF(C22="Non","-",C22)</f>
        <v>-</v>
      </c>
      <c r="D60" s="261" t="str">
        <f t="shared" si="37"/>
        <v>-</v>
      </c>
      <c r="E60" s="261" t="str">
        <f t="shared" si="37"/>
        <v>Sclerot.</v>
      </c>
      <c r="F60" s="261" t="str">
        <f t="shared" si="37"/>
        <v>-</v>
      </c>
      <c r="G60" s="261" t="str">
        <f t="shared" si="37"/>
        <v>Sclerot.</v>
      </c>
      <c r="H60" s="261" t="str">
        <f t="shared" si="37"/>
        <v>-</v>
      </c>
      <c r="I60" s="261" t="str">
        <f t="shared" si="37"/>
        <v>Sclerot.</v>
      </c>
      <c r="J60" s="261" t="str">
        <f t="shared" si="37"/>
        <v>-</v>
      </c>
      <c r="K60" s="261" t="str">
        <f t="shared" si="37"/>
        <v>-</v>
      </c>
      <c r="L60" s="261" t="str">
        <f t="shared" si="37"/>
        <v>Sclerot.</v>
      </c>
      <c r="M60" s="261" t="str">
        <f t="shared" si="37"/>
        <v xml:space="preserve">Sclerot. </v>
      </c>
      <c r="N60" s="261" t="str">
        <f t="shared" si="37"/>
        <v>Sclérot.</v>
      </c>
      <c r="O60" s="261" t="str">
        <f t="shared" si="37"/>
        <v>Aphano. Sclerot.</v>
      </c>
      <c r="P60" s="261" t="str">
        <f t="shared" si="37"/>
        <v>Aphano. Sclerot.</v>
      </c>
      <c r="Q60" s="261" t="str">
        <f t="shared" si="37"/>
        <v>-</v>
      </c>
      <c r="R60" s="261" t="str">
        <f t="shared" si="37"/>
        <v>Sclerot.</v>
      </c>
      <c r="S60" s="261" t="str">
        <f t="shared" si="37"/>
        <v>-</v>
      </c>
      <c r="T60" s="261" t="str">
        <f t="shared" si="37"/>
        <v>-</v>
      </c>
      <c r="U60" s="261" t="str">
        <f t="shared" si="37"/>
        <v>Aphano. Sclerot.</v>
      </c>
      <c r="V60" s="261" t="str">
        <f t="shared" si="37"/>
        <v>Aphano. Sclerot.</v>
      </c>
      <c r="W60" s="347">
        <f t="shared" ref="W60" si="38">IF(W22="Non","-",W22)</f>
        <v>0</v>
      </c>
      <c r="X60" s="313"/>
    </row>
    <row r="61" spans="1:24" ht="18" hidden="1">
      <c r="A61" s="570"/>
      <c r="B61" s="268" t="s">
        <v>345</v>
      </c>
      <c r="C61" s="269">
        <f t="shared" ref="C61:V61" si="39">MATCH(C23,Classes_Appetence_Limaces_PS,0)</f>
        <v>3</v>
      </c>
      <c r="D61" s="269">
        <f t="shared" si="39"/>
        <v>3</v>
      </c>
      <c r="E61" s="269">
        <f t="shared" si="39"/>
        <v>2</v>
      </c>
      <c r="F61" s="261">
        <f t="shared" si="39"/>
        <v>2</v>
      </c>
      <c r="G61" s="261">
        <f t="shared" si="39"/>
        <v>2</v>
      </c>
      <c r="H61" s="261">
        <f t="shared" si="39"/>
        <v>2</v>
      </c>
      <c r="I61" s="261">
        <f t="shared" si="39"/>
        <v>2</v>
      </c>
      <c r="J61" s="269">
        <f t="shared" si="39"/>
        <v>3</v>
      </c>
      <c r="K61" s="269">
        <f t="shared" si="39"/>
        <v>2</v>
      </c>
      <c r="L61" s="269">
        <f t="shared" si="39"/>
        <v>3</v>
      </c>
      <c r="M61" s="269">
        <f t="shared" si="39"/>
        <v>1</v>
      </c>
      <c r="N61" s="261">
        <f t="shared" si="39"/>
        <v>2</v>
      </c>
      <c r="O61" s="261">
        <f t="shared" si="39"/>
        <v>2</v>
      </c>
      <c r="P61" s="269">
        <f t="shared" si="39"/>
        <v>2</v>
      </c>
      <c r="Q61" s="261">
        <f t="shared" si="39"/>
        <v>3</v>
      </c>
      <c r="R61" s="269">
        <f t="shared" si="39"/>
        <v>1</v>
      </c>
      <c r="S61" s="261">
        <f t="shared" si="39"/>
        <v>1</v>
      </c>
      <c r="T61" s="261">
        <f t="shared" si="39"/>
        <v>3</v>
      </c>
      <c r="U61" s="269">
        <f t="shared" si="39"/>
        <v>2</v>
      </c>
      <c r="V61" s="269">
        <f t="shared" si="39"/>
        <v>2</v>
      </c>
      <c r="W61" s="348" t="e">
        <f t="shared" ref="W61" si="40">MATCH(W23,Classes_Appetence_Limaces_PS,0)</f>
        <v>#N/A</v>
      </c>
      <c r="X61" s="318"/>
    </row>
    <row r="62" spans="1:24" ht="18" hidden="1">
      <c r="A62" s="570"/>
      <c r="B62" s="268" t="s">
        <v>37</v>
      </c>
      <c r="C62" s="261">
        <f t="shared" ref="C62:V62" si="41">MATCH(C24,Classes_capacite_germination_orobanche_PS,0)</f>
        <v>1</v>
      </c>
      <c r="D62" s="261">
        <f t="shared" si="41"/>
        <v>1</v>
      </c>
      <c r="E62" s="261">
        <f t="shared" si="41"/>
        <v>1</v>
      </c>
      <c r="F62" s="261">
        <f t="shared" si="41"/>
        <v>1</v>
      </c>
      <c r="G62" s="261">
        <f t="shared" si="41"/>
        <v>1</v>
      </c>
      <c r="H62" s="261">
        <f t="shared" si="41"/>
        <v>1</v>
      </c>
      <c r="I62" s="261">
        <f t="shared" si="41"/>
        <v>1</v>
      </c>
      <c r="J62" s="261">
        <f t="shared" si="41"/>
        <v>2</v>
      </c>
      <c r="K62" s="261">
        <f t="shared" si="41"/>
        <v>1</v>
      </c>
      <c r="L62" s="261">
        <f t="shared" si="41"/>
        <v>1</v>
      </c>
      <c r="M62" s="261">
        <f t="shared" si="41"/>
        <v>1</v>
      </c>
      <c r="N62" s="261">
        <f t="shared" si="41"/>
        <v>1</v>
      </c>
      <c r="O62" s="261">
        <f t="shared" si="41"/>
        <v>1</v>
      </c>
      <c r="P62" s="261">
        <f t="shared" si="41"/>
        <v>1</v>
      </c>
      <c r="Q62" s="261">
        <f t="shared" si="41"/>
        <v>1</v>
      </c>
      <c r="R62" s="261">
        <f t="shared" si="41"/>
        <v>2</v>
      </c>
      <c r="S62" s="261">
        <f t="shared" si="41"/>
        <v>1</v>
      </c>
      <c r="T62" s="261">
        <f t="shared" si="41"/>
        <v>1</v>
      </c>
      <c r="U62" s="261">
        <f t="shared" si="41"/>
        <v>1</v>
      </c>
      <c r="V62" s="261">
        <f t="shared" si="41"/>
        <v>1</v>
      </c>
      <c r="W62" s="347" t="e">
        <f t="shared" ref="W62" si="42">MATCH(W24,Classes_capacite_germination_orobanche_PS,0)</f>
        <v>#N/A</v>
      </c>
      <c r="X62" s="313"/>
    </row>
    <row r="63" spans="1:24" ht="18" hidden="1">
      <c r="A63" s="570"/>
      <c r="B63" s="268" t="s">
        <v>387</v>
      </c>
      <c r="C63" s="261">
        <f t="shared" ref="C63:V63" si="43">MATCH(C25,Classes_odeur_PS,0)</f>
        <v>1</v>
      </c>
      <c r="D63" s="261">
        <f t="shared" si="43"/>
        <v>1</v>
      </c>
      <c r="E63" s="261">
        <f t="shared" si="43"/>
        <v>1</v>
      </c>
      <c r="F63" s="261">
        <f t="shared" si="43"/>
        <v>2</v>
      </c>
      <c r="G63" s="261">
        <f t="shared" si="43"/>
        <v>1</v>
      </c>
      <c r="H63" s="261">
        <f t="shared" si="43"/>
        <v>1</v>
      </c>
      <c r="I63" s="261">
        <f t="shared" si="43"/>
        <v>1</v>
      </c>
      <c r="J63" s="261">
        <f t="shared" si="43"/>
        <v>1</v>
      </c>
      <c r="K63" s="261">
        <f t="shared" si="43"/>
        <v>1</v>
      </c>
      <c r="L63" s="261">
        <f t="shared" si="43"/>
        <v>2</v>
      </c>
      <c r="M63" s="261">
        <f t="shared" si="43"/>
        <v>1</v>
      </c>
      <c r="N63" s="261">
        <f t="shared" si="43"/>
        <v>1</v>
      </c>
      <c r="O63" s="261">
        <f t="shared" si="43"/>
        <v>1</v>
      </c>
      <c r="P63" s="261">
        <f t="shared" si="43"/>
        <v>1</v>
      </c>
      <c r="Q63" s="261">
        <f t="shared" si="43"/>
        <v>1</v>
      </c>
      <c r="R63" s="261">
        <f t="shared" si="43"/>
        <v>1</v>
      </c>
      <c r="S63" s="261">
        <f t="shared" si="43"/>
        <v>1</v>
      </c>
      <c r="T63" s="261">
        <f t="shared" si="43"/>
        <v>1</v>
      </c>
      <c r="U63" s="261">
        <f t="shared" si="43"/>
        <v>1</v>
      </c>
      <c r="V63" s="261">
        <f t="shared" si="43"/>
        <v>1</v>
      </c>
      <c r="W63" s="347" t="e">
        <f t="shared" ref="W63" si="44">MATCH(W25,Classes_odeur_PS,0)</f>
        <v>#N/A</v>
      </c>
      <c r="X63" s="313"/>
    </row>
    <row r="64" spans="1:24" ht="18" hidden="1">
      <c r="A64" s="570"/>
      <c r="B64" s="268" t="s">
        <v>402</v>
      </c>
      <c r="C64" s="261">
        <f t="shared" ref="C64:V64" si="45">MATCH(C26,Classes_nectar_extrafloral_PS,0)</f>
        <v>1</v>
      </c>
      <c r="D64" s="261">
        <f t="shared" si="45"/>
        <v>1</v>
      </c>
      <c r="E64" s="261">
        <f t="shared" si="45"/>
        <v>1</v>
      </c>
      <c r="F64" s="261">
        <f t="shared" si="45"/>
        <v>1</v>
      </c>
      <c r="G64" s="261">
        <f t="shared" si="45"/>
        <v>2</v>
      </c>
      <c r="H64" s="261">
        <f t="shared" si="45"/>
        <v>1</v>
      </c>
      <c r="I64" s="261">
        <f t="shared" si="45"/>
        <v>1</v>
      </c>
      <c r="J64" s="261">
        <f t="shared" si="45"/>
        <v>1</v>
      </c>
      <c r="K64" s="261">
        <f t="shared" si="45"/>
        <v>1</v>
      </c>
      <c r="L64" s="261">
        <f t="shared" si="45"/>
        <v>1</v>
      </c>
      <c r="M64" s="261">
        <f t="shared" si="45"/>
        <v>1</v>
      </c>
      <c r="N64" s="261">
        <f t="shared" si="45"/>
        <v>1</v>
      </c>
      <c r="O64" s="261">
        <f t="shared" si="45"/>
        <v>1</v>
      </c>
      <c r="P64" s="261">
        <f t="shared" si="45"/>
        <v>1</v>
      </c>
      <c r="Q64" s="261">
        <f t="shared" si="45"/>
        <v>1</v>
      </c>
      <c r="R64" s="261">
        <f t="shared" si="45"/>
        <v>2</v>
      </c>
      <c r="S64" s="261">
        <f t="shared" si="45"/>
        <v>1</v>
      </c>
      <c r="T64" s="261">
        <f t="shared" si="45"/>
        <v>1</v>
      </c>
      <c r="U64" s="261">
        <f t="shared" si="45"/>
        <v>2</v>
      </c>
      <c r="V64" s="261">
        <f t="shared" si="45"/>
        <v>1</v>
      </c>
      <c r="W64" s="347" t="e">
        <f t="shared" ref="W64" si="46">MATCH(W26,Classes_nectar_extrafloral_PS,0)</f>
        <v>#N/A</v>
      </c>
      <c r="X64" s="313"/>
    </row>
    <row r="65" spans="1:24" ht="18" hidden="1">
      <c r="A65" s="562" t="s">
        <v>403</v>
      </c>
      <c r="B65" s="270" t="s">
        <v>404</v>
      </c>
      <c r="C65" s="269">
        <f t="shared" ref="C65:V65" si="47">MATCH(C27,Classes_interet_fourrager_PS,0)</f>
        <v>1</v>
      </c>
      <c r="D65" s="269">
        <f t="shared" si="47"/>
        <v>1</v>
      </c>
      <c r="E65" s="269">
        <f t="shared" si="47"/>
        <v>1</v>
      </c>
      <c r="F65" s="269">
        <f t="shared" si="47"/>
        <v>2</v>
      </c>
      <c r="G65" s="269">
        <f t="shared" si="47"/>
        <v>2</v>
      </c>
      <c r="H65" s="269">
        <f t="shared" si="47"/>
        <v>1</v>
      </c>
      <c r="I65" s="269">
        <f t="shared" si="47"/>
        <v>2</v>
      </c>
      <c r="J65" s="269">
        <f t="shared" si="47"/>
        <v>1</v>
      </c>
      <c r="K65" s="269">
        <f t="shared" si="47"/>
        <v>1</v>
      </c>
      <c r="L65" s="269">
        <f t="shared" si="47"/>
        <v>2</v>
      </c>
      <c r="M65" s="269">
        <f t="shared" si="47"/>
        <v>1</v>
      </c>
      <c r="N65" s="269">
        <f t="shared" si="47"/>
        <v>1</v>
      </c>
      <c r="O65" s="269">
        <f t="shared" si="47"/>
        <v>2</v>
      </c>
      <c r="P65" s="269">
        <f t="shared" si="47"/>
        <v>1</v>
      </c>
      <c r="Q65" s="269">
        <f t="shared" si="47"/>
        <v>1</v>
      </c>
      <c r="R65" s="269">
        <f t="shared" si="47"/>
        <v>2</v>
      </c>
      <c r="S65" s="269">
        <f t="shared" si="47"/>
        <v>2</v>
      </c>
      <c r="T65" s="269">
        <f t="shared" si="47"/>
        <v>2</v>
      </c>
      <c r="U65" s="269">
        <f t="shared" si="47"/>
        <v>2</v>
      </c>
      <c r="V65" s="269">
        <f t="shared" si="47"/>
        <v>2</v>
      </c>
      <c r="W65" s="348" t="e">
        <f t="shared" ref="W65" si="48">MATCH(W27,Classes_interet_fourrager_PS,0)</f>
        <v>#N/A</v>
      </c>
      <c r="X65" s="318"/>
    </row>
    <row r="66" spans="1:24" ht="18" hidden="1">
      <c r="A66" s="563"/>
      <c r="B66" s="270" t="s">
        <v>520</v>
      </c>
      <c r="C66" s="269">
        <f t="shared" ref="C66:W66" si="49">IF(C30="NC","NC",MATCH(C30,Classes_resistance_herbicide,0))</f>
        <v>1</v>
      </c>
      <c r="D66" s="269">
        <f t="shared" si="49"/>
        <v>1</v>
      </c>
      <c r="E66" s="269" t="str">
        <f t="shared" si="49"/>
        <v>NC</v>
      </c>
      <c r="F66" s="269">
        <f t="shared" si="49"/>
        <v>3</v>
      </c>
      <c r="G66" s="269">
        <f t="shared" si="49"/>
        <v>3</v>
      </c>
      <c r="H66" s="269">
        <f t="shared" si="49"/>
        <v>2</v>
      </c>
      <c r="I66" s="269">
        <f t="shared" si="49"/>
        <v>2</v>
      </c>
      <c r="J66" s="269">
        <f t="shared" si="49"/>
        <v>3</v>
      </c>
      <c r="K66" s="269">
        <f t="shared" si="49"/>
        <v>2</v>
      </c>
      <c r="L66" s="269">
        <f t="shared" si="49"/>
        <v>3</v>
      </c>
      <c r="M66" s="269">
        <f t="shared" si="49"/>
        <v>2</v>
      </c>
      <c r="N66" s="269">
        <f t="shared" si="49"/>
        <v>2</v>
      </c>
      <c r="O66" s="269">
        <f t="shared" si="49"/>
        <v>2</v>
      </c>
      <c r="P66" s="269">
        <f t="shared" si="49"/>
        <v>3</v>
      </c>
      <c r="Q66" s="269">
        <f t="shared" si="49"/>
        <v>2</v>
      </c>
      <c r="R66" s="269">
        <f t="shared" si="49"/>
        <v>3</v>
      </c>
      <c r="S66" s="269">
        <f t="shared" si="49"/>
        <v>1</v>
      </c>
      <c r="T66" s="269">
        <f t="shared" si="49"/>
        <v>1</v>
      </c>
      <c r="U66" s="269">
        <f t="shared" si="49"/>
        <v>3</v>
      </c>
      <c r="V66" s="269">
        <f t="shared" si="49"/>
        <v>2</v>
      </c>
      <c r="W66" s="269" t="e">
        <f t="shared" si="49"/>
        <v>#N/A</v>
      </c>
      <c r="X66" s="318"/>
    </row>
    <row r="69" spans="1:24" ht="16" thickBot="1"/>
    <row r="70" spans="1:24" ht="19" thickBot="1">
      <c r="B70" s="590" t="s">
        <v>795</v>
      </c>
      <c r="C70" s="591"/>
      <c r="D70" s="591"/>
      <c r="E70" s="591"/>
      <c r="F70" s="591"/>
      <c r="G70" s="591"/>
      <c r="H70" s="591"/>
      <c r="I70" s="591"/>
      <c r="J70" s="592"/>
      <c r="L70" s="551" t="s">
        <v>852</v>
      </c>
      <c r="M70" s="551"/>
    </row>
    <row r="71" spans="1:24">
      <c r="B71" s="294" t="s">
        <v>770</v>
      </c>
      <c r="C71" s="295"/>
      <c r="D71" s="295"/>
      <c r="E71" s="295"/>
      <c r="F71" s="295"/>
      <c r="G71" s="295"/>
      <c r="H71" s="295"/>
      <c r="I71" s="295"/>
      <c r="J71" s="296"/>
      <c r="L71" s="551"/>
      <c r="M71" s="551"/>
    </row>
    <row r="72" spans="1:24">
      <c r="B72" s="557" t="s">
        <v>856</v>
      </c>
      <c r="C72" s="19"/>
      <c r="D72" s="19"/>
      <c r="E72" s="19"/>
      <c r="F72" s="558" t="s">
        <v>749</v>
      </c>
      <c r="G72" s="558"/>
      <c r="H72" s="273" t="s">
        <v>433</v>
      </c>
      <c r="I72" s="273"/>
      <c r="J72" s="307"/>
      <c r="L72" s="551"/>
      <c r="M72" s="551"/>
    </row>
    <row r="73" spans="1:24">
      <c r="B73" s="557"/>
      <c r="C73" s="19"/>
      <c r="D73" s="19"/>
      <c r="E73" s="19"/>
      <c r="F73" s="19"/>
      <c r="G73" s="273"/>
      <c r="H73" s="273"/>
      <c r="I73" s="273"/>
      <c r="J73" s="307"/>
    </row>
    <row r="74" spans="1:24">
      <c r="B74" s="557"/>
      <c r="C74" s="19"/>
      <c r="D74" s="19"/>
      <c r="E74" s="19"/>
      <c r="F74" s="19"/>
      <c r="G74" s="19"/>
      <c r="H74" s="19"/>
      <c r="I74" s="285"/>
      <c r="J74" s="284"/>
    </row>
    <row r="75" spans="1:24">
      <c r="B75" s="557"/>
      <c r="C75" s="19"/>
      <c r="D75" s="19"/>
      <c r="E75" s="19"/>
      <c r="F75" s="19" t="s">
        <v>750</v>
      </c>
      <c r="G75" s="19"/>
      <c r="H75" s="285"/>
      <c r="I75" s="589" t="s">
        <v>7</v>
      </c>
      <c r="J75" s="550"/>
    </row>
    <row r="76" spans="1:24">
      <c r="B76" s="557"/>
      <c r="C76" s="19"/>
      <c r="D76" s="19"/>
      <c r="E76" s="19"/>
      <c r="F76" s="9"/>
      <c r="G76" s="19"/>
      <c r="H76" s="285"/>
      <c r="I76" s="382"/>
      <c r="J76" s="305"/>
    </row>
    <row r="77" spans="1:24">
      <c r="B77" s="557"/>
      <c r="C77" s="19"/>
      <c r="D77" s="19"/>
      <c r="E77" s="19"/>
      <c r="F77" s="19" t="s">
        <v>751</v>
      </c>
      <c r="G77" s="9"/>
      <c r="H77" s="285"/>
      <c r="I77" s="589" t="s">
        <v>213</v>
      </c>
      <c r="J77" s="550"/>
    </row>
    <row r="78" spans="1:24">
      <c r="B78" s="557"/>
      <c r="C78" s="19"/>
      <c r="D78" s="19"/>
      <c r="E78" s="19"/>
      <c r="F78" s="19"/>
      <c r="G78" s="19"/>
      <c r="H78" s="285"/>
      <c r="I78" s="382"/>
      <c r="J78" s="305"/>
    </row>
    <row r="79" spans="1:24">
      <c r="B79" s="287" t="s">
        <v>772</v>
      </c>
      <c r="C79" s="19"/>
      <c r="D79" s="19"/>
      <c r="E79" s="19"/>
      <c r="F79" s="19" t="s">
        <v>752</v>
      </c>
      <c r="G79" s="19"/>
      <c r="H79" s="285"/>
      <c r="I79" s="550" t="s">
        <v>858</v>
      </c>
      <c r="J79" s="550"/>
    </row>
    <row r="80" spans="1:24">
      <c r="B80" s="560" t="s">
        <v>857</v>
      </c>
      <c r="C80" s="19"/>
      <c r="D80" s="19"/>
      <c r="E80" s="19"/>
      <c r="F80" s="19"/>
      <c r="G80" s="19"/>
      <c r="H80" s="285"/>
      <c r="I80" s="19"/>
      <c r="J80" s="284"/>
    </row>
    <row r="81" spans="2:13">
      <c r="B81" s="560"/>
      <c r="C81" s="19"/>
      <c r="D81" s="19"/>
      <c r="E81" s="19"/>
      <c r="F81" s="19" t="s">
        <v>859</v>
      </c>
      <c r="G81" s="9"/>
      <c r="H81" s="285"/>
      <c r="I81" s="297"/>
      <c r="J81" s="284"/>
    </row>
    <row r="82" spans="2:13">
      <c r="B82" s="560"/>
      <c r="C82" s="19"/>
      <c r="D82" s="19"/>
      <c r="E82" s="19"/>
      <c r="F82" s="9"/>
      <c r="G82" s="19"/>
      <c r="H82" s="285"/>
      <c r="I82" s="19"/>
      <c r="J82" s="284"/>
    </row>
    <row r="83" spans="2:13">
      <c r="B83" s="560"/>
      <c r="C83" s="19"/>
      <c r="D83" s="19"/>
      <c r="E83" s="19"/>
      <c r="F83" s="289" t="s">
        <v>753</v>
      </c>
      <c r="G83" s="289"/>
      <c r="H83" s="289"/>
      <c r="I83" s="289" t="s">
        <v>862</v>
      </c>
      <c r="J83" s="290"/>
    </row>
    <row r="84" spans="2:13">
      <c r="B84" s="560"/>
      <c r="C84" s="19"/>
      <c r="D84" s="19"/>
      <c r="E84" s="19"/>
      <c r="F84" s="289" t="s">
        <v>757</v>
      </c>
      <c r="G84" s="289"/>
      <c r="H84" s="289"/>
      <c r="I84" s="289" t="s">
        <v>861</v>
      </c>
      <c r="J84" s="290"/>
    </row>
    <row r="85" spans="2:13">
      <c r="B85" s="560"/>
      <c r="C85" s="19"/>
      <c r="D85" s="19"/>
      <c r="E85" s="19"/>
      <c r="F85" s="289" t="s">
        <v>759</v>
      </c>
      <c r="G85" s="289"/>
      <c r="H85" s="289"/>
      <c r="I85" s="289" t="s">
        <v>832</v>
      </c>
      <c r="J85" s="290"/>
    </row>
    <row r="86" spans="2:13" ht="16" thickBot="1">
      <c r="B86" s="561"/>
      <c r="C86" s="291"/>
      <c r="D86" s="291"/>
      <c r="E86" s="291"/>
      <c r="F86" s="292"/>
      <c r="G86" s="292"/>
      <c r="H86" s="292"/>
      <c r="I86" s="292"/>
      <c r="J86" s="293"/>
    </row>
    <row r="87" spans="2:13" ht="16" thickBot="1"/>
    <row r="88" spans="2:13" ht="19" thickBot="1">
      <c r="B88" s="590" t="s">
        <v>798</v>
      </c>
      <c r="C88" s="591"/>
      <c r="D88" s="591"/>
      <c r="E88" s="591"/>
      <c r="F88" s="591"/>
      <c r="G88" s="591"/>
      <c r="H88" s="591"/>
      <c r="I88" s="591"/>
      <c r="J88" s="592"/>
      <c r="L88" s="551" t="s">
        <v>852</v>
      </c>
      <c r="M88" s="551"/>
    </row>
    <row r="89" spans="2:13">
      <c r="B89" s="294" t="s">
        <v>770</v>
      </c>
      <c r="C89" s="295"/>
      <c r="D89" s="295"/>
      <c r="E89" s="295"/>
      <c r="F89" s="295"/>
      <c r="G89" s="295"/>
      <c r="H89" s="295"/>
      <c r="I89" s="295"/>
      <c r="J89" s="296"/>
      <c r="L89" s="551"/>
      <c r="M89" s="551"/>
    </row>
    <row r="90" spans="2:13">
      <c r="B90" s="557" t="s">
        <v>865</v>
      </c>
      <c r="C90" s="19"/>
      <c r="D90" s="19"/>
      <c r="E90" s="19"/>
      <c r="F90" s="558" t="s">
        <v>749</v>
      </c>
      <c r="G90" s="558"/>
      <c r="H90" s="273" t="s">
        <v>867</v>
      </c>
      <c r="I90" s="273"/>
      <c r="J90" s="307"/>
      <c r="L90" s="551"/>
      <c r="M90" s="551"/>
    </row>
    <row r="91" spans="2:13">
      <c r="B91" s="557"/>
      <c r="C91" s="19"/>
      <c r="D91" s="19"/>
      <c r="E91" s="19"/>
      <c r="F91" s="19"/>
      <c r="G91" s="273"/>
      <c r="H91" s="273"/>
      <c r="I91" s="273"/>
      <c r="J91" s="307"/>
    </row>
    <row r="92" spans="2:13">
      <c r="B92" s="557"/>
      <c r="C92" s="19"/>
      <c r="D92" s="19"/>
      <c r="E92" s="19"/>
      <c r="F92" s="19"/>
      <c r="G92" s="19"/>
      <c r="H92" s="19"/>
      <c r="I92" s="285"/>
      <c r="J92" s="284"/>
    </row>
    <row r="93" spans="2:13">
      <c r="B93" s="557"/>
      <c r="C93" s="19"/>
      <c r="D93" s="19"/>
      <c r="E93" s="19"/>
      <c r="F93" s="19" t="s">
        <v>750</v>
      </c>
      <c r="G93" s="19"/>
      <c r="H93" s="285"/>
      <c r="I93" s="549" t="s">
        <v>212</v>
      </c>
      <c r="J93" s="550"/>
    </row>
    <row r="94" spans="2:13">
      <c r="B94" s="557"/>
      <c r="C94" s="19"/>
      <c r="D94" s="19"/>
      <c r="E94" s="19"/>
      <c r="F94" s="9"/>
      <c r="G94" s="19"/>
      <c r="H94" s="285"/>
      <c r="I94" s="382"/>
      <c r="J94" s="305"/>
    </row>
    <row r="95" spans="2:13">
      <c r="B95" s="557"/>
      <c r="C95" s="19"/>
      <c r="D95" s="19"/>
      <c r="E95" s="19"/>
      <c r="F95" s="19" t="s">
        <v>751</v>
      </c>
      <c r="G95" s="9"/>
      <c r="H95" s="285"/>
      <c r="I95" s="589" t="s">
        <v>213</v>
      </c>
      <c r="J95" s="550"/>
    </row>
    <row r="96" spans="2:13">
      <c r="B96" s="557"/>
      <c r="C96" s="19"/>
      <c r="D96" s="19"/>
      <c r="E96" s="19"/>
      <c r="F96" s="19"/>
      <c r="G96" s="19"/>
      <c r="H96" s="285"/>
      <c r="I96" s="382"/>
      <c r="J96" s="305"/>
    </row>
    <row r="97" spans="2:13">
      <c r="B97" s="287" t="s">
        <v>772</v>
      </c>
      <c r="C97" s="19"/>
      <c r="D97" s="19"/>
      <c r="E97" s="19"/>
      <c r="F97" s="19" t="s">
        <v>752</v>
      </c>
      <c r="G97" s="19"/>
      <c r="H97" s="285"/>
      <c r="I97" s="550" t="s">
        <v>868</v>
      </c>
      <c r="J97" s="550"/>
    </row>
    <row r="98" spans="2:13">
      <c r="B98" s="560" t="s">
        <v>866</v>
      </c>
      <c r="C98" s="19"/>
      <c r="D98" s="19"/>
      <c r="E98" s="19"/>
      <c r="F98" s="19"/>
      <c r="G98" s="19"/>
      <c r="H98" s="285"/>
      <c r="I98" s="19"/>
      <c r="J98" s="284"/>
    </row>
    <row r="99" spans="2:13">
      <c r="B99" s="560"/>
      <c r="C99" s="19"/>
      <c r="D99" s="19"/>
      <c r="E99" s="19"/>
      <c r="F99" s="19" t="s">
        <v>869</v>
      </c>
      <c r="G99" s="9"/>
      <c r="H99" s="285"/>
      <c r="I99" s="297"/>
      <c r="J99" s="284"/>
    </row>
    <row r="100" spans="2:13">
      <c r="B100" s="560"/>
      <c r="C100" s="19"/>
      <c r="D100" s="19"/>
      <c r="E100" s="19"/>
      <c r="F100" s="9"/>
      <c r="G100" s="19"/>
      <c r="H100" s="285"/>
      <c r="I100" s="19"/>
      <c r="J100" s="284"/>
    </row>
    <row r="101" spans="2:13">
      <c r="B101" s="560"/>
      <c r="C101" s="19"/>
      <c r="D101" s="19"/>
      <c r="E101" s="19"/>
      <c r="F101" s="289" t="s">
        <v>753</v>
      </c>
      <c r="G101" s="289"/>
      <c r="H101" s="289"/>
      <c r="I101" s="289" t="s">
        <v>860</v>
      </c>
      <c r="J101" s="290"/>
    </row>
    <row r="102" spans="2:13">
      <c r="B102" s="560"/>
      <c r="C102" s="19"/>
      <c r="D102" s="19"/>
      <c r="E102" s="19"/>
      <c r="F102" s="289" t="s">
        <v>757</v>
      </c>
      <c r="G102" s="289"/>
      <c r="H102" s="289"/>
      <c r="I102" s="289" t="s">
        <v>863</v>
      </c>
      <c r="J102" s="290"/>
    </row>
    <row r="103" spans="2:13">
      <c r="B103" s="560"/>
      <c r="C103" s="19"/>
      <c r="D103" s="19"/>
      <c r="E103" s="19"/>
      <c r="F103" s="289" t="s">
        <v>759</v>
      </c>
      <c r="G103" s="289"/>
      <c r="H103" s="289"/>
      <c r="I103" s="289" t="s">
        <v>864</v>
      </c>
      <c r="J103" s="290"/>
    </row>
    <row r="104" spans="2:13" ht="16" thickBot="1">
      <c r="B104" s="561"/>
      <c r="C104" s="291"/>
      <c r="D104" s="291"/>
      <c r="E104" s="291"/>
      <c r="F104" s="292"/>
      <c r="G104" s="292"/>
      <c r="H104" s="292"/>
      <c r="I104" s="292"/>
      <c r="J104" s="293"/>
    </row>
    <row r="105" spans="2:13" ht="16" thickBot="1"/>
    <row r="106" spans="2:13" ht="19" thickBot="1">
      <c r="B106" s="609" t="s">
        <v>793</v>
      </c>
      <c r="C106" s="610"/>
      <c r="D106" s="610"/>
      <c r="E106" s="610"/>
      <c r="F106" s="610"/>
      <c r="G106" s="610"/>
      <c r="H106" s="610"/>
      <c r="I106" s="610"/>
      <c r="J106" s="611"/>
      <c r="L106" s="551" t="s">
        <v>852</v>
      </c>
      <c r="M106" s="551"/>
    </row>
    <row r="107" spans="2:13">
      <c r="B107" s="294" t="s">
        <v>770</v>
      </c>
      <c r="C107" s="295"/>
      <c r="D107" s="295"/>
      <c r="E107" s="295"/>
      <c r="F107" s="295"/>
      <c r="G107" s="295"/>
      <c r="H107" s="295"/>
      <c r="I107" s="295"/>
      <c r="J107" s="296"/>
      <c r="L107" s="551"/>
      <c r="M107" s="551"/>
    </row>
    <row r="108" spans="2:13">
      <c r="B108" s="557" t="s">
        <v>825</v>
      </c>
      <c r="C108" s="19"/>
      <c r="D108" s="19"/>
      <c r="E108" s="19"/>
      <c r="F108" s="558" t="s">
        <v>749</v>
      </c>
      <c r="G108" s="558"/>
      <c r="H108" s="273" t="s">
        <v>827</v>
      </c>
      <c r="I108" s="273"/>
      <c r="J108" s="307"/>
      <c r="L108" s="551"/>
      <c r="M108" s="551"/>
    </row>
    <row r="109" spans="2:13">
      <c r="B109" s="557"/>
      <c r="C109" s="19"/>
      <c r="D109" s="19"/>
      <c r="E109" s="19"/>
      <c r="F109" s="19"/>
      <c r="G109" s="273"/>
      <c r="H109" s="273"/>
      <c r="I109" s="273"/>
      <c r="J109" s="307"/>
    </row>
    <row r="110" spans="2:13">
      <c r="B110" s="557"/>
      <c r="C110" s="19"/>
      <c r="D110" s="19"/>
      <c r="E110" s="19"/>
      <c r="F110" s="19"/>
      <c r="G110" s="19"/>
      <c r="H110" s="19"/>
      <c r="I110" s="285"/>
      <c r="J110" s="284"/>
    </row>
    <row r="111" spans="2:13">
      <c r="B111" s="557"/>
      <c r="C111" s="19"/>
      <c r="D111" s="19"/>
      <c r="E111" s="19"/>
      <c r="F111" s="19" t="s">
        <v>750</v>
      </c>
      <c r="G111" s="19"/>
      <c r="H111" s="285"/>
      <c r="I111" s="549" t="s">
        <v>212</v>
      </c>
      <c r="J111" s="550"/>
    </row>
    <row r="112" spans="2:13">
      <c r="B112" s="557"/>
      <c r="C112" s="19"/>
      <c r="D112" s="19"/>
      <c r="E112" s="19"/>
      <c r="F112" s="9"/>
      <c r="G112" s="19"/>
      <c r="H112" s="285"/>
      <c r="I112" s="382"/>
      <c r="J112" s="305"/>
    </row>
    <row r="113" spans="2:13">
      <c r="B113" s="557"/>
      <c r="C113" s="19"/>
      <c r="D113" s="19"/>
      <c r="E113" s="19"/>
      <c r="F113" s="19" t="s">
        <v>751</v>
      </c>
      <c r="G113" s="9"/>
      <c r="H113" s="285"/>
      <c r="I113" s="559" t="s">
        <v>7</v>
      </c>
      <c r="J113" s="550"/>
    </row>
    <row r="114" spans="2:13">
      <c r="B114" s="557"/>
      <c r="C114" s="19"/>
      <c r="D114" s="19"/>
      <c r="E114" s="19"/>
      <c r="F114" s="19"/>
      <c r="G114" s="19"/>
      <c r="H114" s="285"/>
      <c r="I114" s="382"/>
      <c r="J114" s="305"/>
    </row>
    <row r="115" spans="2:13">
      <c r="B115" s="287" t="s">
        <v>772</v>
      </c>
      <c r="C115" s="19"/>
      <c r="D115" s="19"/>
      <c r="E115" s="19"/>
      <c r="F115" s="19" t="s">
        <v>752</v>
      </c>
      <c r="G115" s="19"/>
      <c r="H115" s="285"/>
      <c r="I115" s="550" t="s">
        <v>828</v>
      </c>
      <c r="J115" s="550"/>
    </row>
    <row r="116" spans="2:13">
      <c r="B116" s="560" t="s">
        <v>826</v>
      </c>
      <c r="C116" s="19"/>
      <c r="D116" s="19"/>
      <c r="E116" s="19"/>
      <c r="F116" s="19"/>
      <c r="G116" s="19"/>
      <c r="H116" s="285"/>
      <c r="I116" s="19"/>
      <c r="J116" s="284"/>
    </row>
    <row r="117" spans="2:13">
      <c r="B117" s="560"/>
      <c r="C117" s="19"/>
      <c r="D117" s="19"/>
      <c r="E117" s="19"/>
      <c r="F117" s="19" t="s">
        <v>829</v>
      </c>
      <c r="G117" s="9"/>
      <c r="H117" s="285"/>
      <c r="I117" s="297"/>
      <c r="J117" s="284"/>
    </row>
    <row r="118" spans="2:13">
      <c r="B118" s="560"/>
      <c r="C118" s="19"/>
      <c r="D118" s="19"/>
      <c r="E118" s="19"/>
      <c r="F118" s="9"/>
      <c r="G118" s="19"/>
      <c r="H118" s="285"/>
      <c r="I118" s="19"/>
      <c r="J118" s="284"/>
    </row>
    <row r="119" spans="2:13">
      <c r="B119" s="560"/>
      <c r="C119" s="19"/>
      <c r="D119" s="19"/>
      <c r="E119" s="19"/>
      <c r="F119" s="289" t="s">
        <v>753</v>
      </c>
      <c r="G119" s="289"/>
      <c r="H119" s="289"/>
      <c r="I119" s="289" t="s">
        <v>830</v>
      </c>
      <c r="J119" s="290"/>
    </row>
    <row r="120" spans="2:13">
      <c r="B120" s="560"/>
      <c r="C120" s="19"/>
      <c r="D120" s="19"/>
      <c r="E120" s="19"/>
      <c r="F120" s="289" t="s">
        <v>757</v>
      </c>
      <c r="G120" s="289"/>
      <c r="H120" s="289"/>
      <c r="I120" s="289" t="s">
        <v>831</v>
      </c>
      <c r="J120" s="290"/>
    </row>
    <row r="121" spans="2:13">
      <c r="B121" s="560"/>
      <c r="C121" s="19"/>
      <c r="D121" s="19"/>
      <c r="E121" s="19"/>
      <c r="F121" s="289" t="s">
        <v>759</v>
      </c>
      <c r="G121" s="289"/>
      <c r="H121" s="289"/>
      <c r="I121" s="289" t="s">
        <v>832</v>
      </c>
      <c r="J121" s="290"/>
    </row>
    <row r="122" spans="2:13" ht="16" thickBot="1">
      <c r="B122" s="561"/>
      <c r="C122" s="291"/>
      <c r="D122" s="291"/>
      <c r="E122" s="291"/>
      <c r="F122" s="292"/>
      <c r="G122" s="292"/>
      <c r="H122" s="292"/>
      <c r="I122" s="292"/>
      <c r="J122" s="293"/>
    </row>
    <row r="123" spans="2:13" ht="16" thickBot="1"/>
    <row r="124" spans="2:13" ht="19" thickBot="1">
      <c r="B124" s="554" t="s">
        <v>0</v>
      </c>
      <c r="C124" s="555"/>
      <c r="D124" s="555"/>
      <c r="E124" s="555"/>
      <c r="F124" s="555"/>
      <c r="G124" s="555"/>
      <c r="H124" s="555"/>
      <c r="I124" s="555"/>
      <c r="J124" s="556"/>
      <c r="L124" s="551" t="s">
        <v>852</v>
      </c>
      <c r="M124" s="551"/>
    </row>
    <row r="125" spans="2:13">
      <c r="B125" s="294" t="s">
        <v>770</v>
      </c>
      <c r="C125" s="295"/>
      <c r="D125" s="295"/>
      <c r="E125" s="295"/>
      <c r="F125" s="295"/>
      <c r="G125" s="295"/>
      <c r="H125" s="295"/>
      <c r="I125" s="295"/>
      <c r="J125" s="296"/>
      <c r="L125" s="551"/>
      <c r="M125" s="551"/>
    </row>
    <row r="126" spans="2:13">
      <c r="B126" s="557" t="s">
        <v>803</v>
      </c>
      <c r="C126" s="19"/>
      <c r="D126" s="19"/>
      <c r="E126" s="19"/>
      <c r="F126" s="558" t="s">
        <v>749</v>
      </c>
      <c r="G126" s="558"/>
      <c r="H126" s="273" t="s">
        <v>433</v>
      </c>
      <c r="I126" s="273"/>
      <c r="J126" s="307"/>
      <c r="L126" s="551"/>
      <c r="M126" s="551"/>
    </row>
    <row r="127" spans="2:13">
      <c r="B127" s="557"/>
      <c r="C127" s="19"/>
      <c r="D127" s="19"/>
      <c r="E127" s="19"/>
      <c r="F127" s="19"/>
      <c r="G127" s="273"/>
      <c r="H127" s="273"/>
      <c r="I127" s="273"/>
      <c r="J127" s="307"/>
    </row>
    <row r="128" spans="2:13">
      <c r="B128" s="557"/>
      <c r="C128" s="19"/>
      <c r="D128" s="19"/>
      <c r="E128" s="19"/>
      <c r="F128" s="19"/>
      <c r="G128" s="19"/>
      <c r="H128" s="19"/>
      <c r="I128" s="285"/>
      <c r="J128" s="284"/>
    </row>
    <row r="129" spans="2:13">
      <c r="B129" s="557"/>
      <c r="C129" s="19"/>
      <c r="D129" s="19"/>
      <c r="E129" s="19"/>
      <c r="F129" s="19" t="s">
        <v>750</v>
      </c>
      <c r="G129" s="19"/>
      <c r="H129" s="285"/>
      <c r="I129" s="549" t="s">
        <v>212</v>
      </c>
      <c r="J129" s="550"/>
    </row>
    <row r="130" spans="2:13">
      <c r="B130" s="557"/>
      <c r="C130" s="19"/>
      <c r="D130" s="19"/>
      <c r="E130" s="19"/>
      <c r="F130" s="9"/>
      <c r="G130" s="19"/>
      <c r="H130" s="285"/>
      <c r="I130" s="382"/>
      <c r="J130" s="305"/>
    </row>
    <row r="131" spans="2:13">
      <c r="B131" s="557"/>
      <c r="C131" s="19"/>
      <c r="D131" s="19"/>
      <c r="E131" s="19"/>
      <c r="F131" s="19" t="s">
        <v>751</v>
      </c>
      <c r="G131" s="9"/>
      <c r="H131" s="285"/>
      <c r="I131" s="589" t="s">
        <v>213</v>
      </c>
      <c r="J131" s="550"/>
    </row>
    <row r="132" spans="2:13">
      <c r="B132" s="557"/>
      <c r="C132" s="19"/>
      <c r="D132" s="19"/>
      <c r="E132" s="19"/>
      <c r="F132" s="19"/>
      <c r="G132" s="19"/>
      <c r="H132" s="285"/>
      <c r="I132" s="382"/>
      <c r="J132" s="305"/>
    </row>
    <row r="133" spans="2:13">
      <c r="B133" s="287" t="s">
        <v>772</v>
      </c>
      <c r="C133" s="19"/>
      <c r="D133" s="19"/>
      <c r="E133" s="19"/>
      <c r="F133" s="19" t="s">
        <v>752</v>
      </c>
      <c r="G133" s="19"/>
      <c r="H133" s="285"/>
      <c r="I133" s="549" t="s">
        <v>806</v>
      </c>
      <c r="J133" s="550"/>
    </row>
    <row r="134" spans="2:13">
      <c r="B134" s="560" t="s">
        <v>805</v>
      </c>
      <c r="C134" s="19"/>
      <c r="D134" s="19"/>
      <c r="E134" s="19"/>
      <c r="F134" s="19"/>
      <c r="G134" s="19"/>
      <c r="H134" s="285"/>
      <c r="I134" s="19"/>
      <c r="J134" s="284"/>
    </row>
    <row r="135" spans="2:13">
      <c r="B135" s="560"/>
      <c r="C135" s="19"/>
      <c r="D135" s="19"/>
      <c r="E135" s="19"/>
      <c r="F135" s="19" t="s">
        <v>804</v>
      </c>
      <c r="G135" s="9"/>
      <c r="H135" s="285"/>
      <c r="I135" s="297"/>
      <c r="J135" s="284"/>
    </row>
    <row r="136" spans="2:13">
      <c r="B136" s="560"/>
      <c r="C136" s="19"/>
      <c r="D136" s="19"/>
      <c r="E136" s="19"/>
      <c r="F136" s="9"/>
      <c r="G136" s="19"/>
      <c r="H136" s="285"/>
      <c r="I136" s="19"/>
      <c r="J136" s="284"/>
    </row>
    <row r="137" spans="2:13">
      <c r="B137" s="560"/>
      <c r="C137" s="19"/>
      <c r="D137" s="19"/>
      <c r="E137" s="19"/>
      <c r="F137" s="289" t="s">
        <v>753</v>
      </c>
      <c r="G137" s="289"/>
      <c r="H137" s="289"/>
      <c r="I137" s="289" t="s">
        <v>807</v>
      </c>
      <c r="J137" s="290"/>
    </row>
    <row r="138" spans="2:13">
      <c r="B138" s="560"/>
      <c r="C138" s="19"/>
      <c r="D138" s="19"/>
      <c r="E138" s="19"/>
      <c r="F138" s="289" t="s">
        <v>757</v>
      </c>
      <c r="G138" s="289"/>
      <c r="H138" s="289"/>
      <c r="I138" s="289" t="s">
        <v>808</v>
      </c>
      <c r="J138" s="290"/>
    </row>
    <row r="139" spans="2:13">
      <c r="B139" s="560"/>
      <c r="C139" s="19"/>
      <c r="D139" s="19"/>
      <c r="E139" s="19"/>
      <c r="F139" s="289" t="s">
        <v>759</v>
      </c>
      <c r="G139" s="289"/>
      <c r="H139" s="289"/>
      <c r="I139" s="289" t="s">
        <v>809</v>
      </c>
      <c r="J139" s="290"/>
    </row>
    <row r="140" spans="2:13" ht="16" thickBot="1">
      <c r="B140" s="561"/>
      <c r="C140" s="291"/>
      <c r="D140" s="291"/>
      <c r="E140" s="291"/>
      <c r="F140" s="292"/>
      <c r="G140" s="292"/>
      <c r="H140" s="292"/>
      <c r="I140" s="292"/>
      <c r="J140" s="293"/>
    </row>
    <row r="141" spans="2:13" ht="16" thickBot="1"/>
    <row r="142" spans="2:13" ht="19" customHeight="1" thickBot="1">
      <c r="B142" s="554" t="s">
        <v>935</v>
      </c>
      <c r="C142" s="555"/>
      <c r="D142" s="555"/>
      <c r="E142" s="555"/>
      <c r="F142" s="555"/>
      <c r="G142" s="555"/>
      <c r="H142" s="555"/>
      <c r="I142" s="555"/>
      <c r="J142" s="556"/>
      <c r="L142" s="551" t="s">
        <v>852</v>
      </c>
      <c r="M142" s="551"/>
    </row>
    <row r="143" spans="2:13" ht="15" customHeight="1">
      <c r="B143" s="283" t="s">
        <v>770</v>
      </c>
      <c r="C143" s="19"/>
      <c r="D143" s="19"/>
      <c r="E143" s="19"/>
      <c r="F143" s="19"/>
      <c r="G143" s="19"/>
      <c r="H143" s="19"/>
      <c r="I143" s="19"/>
      <c r="J143" s="284"/>
      <c r="L143" s="551"/>
      <c r="M143" s="551"/>
    </row>
    <row r="144" spans="2:13" ht="15" customHeight="1">
      <c r="B144" s="557" t="s">
        <v>771</v>
      </c>
      <c r="C144" s="19"/>
      <c r="D144" s="19"/>
      <c r="E144" s="19"/>
      <c r="F144" s="558" t="s">
        <v>749</v>
      </c>
      <c r="G144" s="558"/>
      <c r="H144" s="606" t="s">
        <v>774</v>
      </c>
      <c r="I144" s="606"/>
      <c r="J144" s="607"/>
      <c r="L144" s="551"/>
      <c r="M144" s="551"/>
    </row>
    <row r="145" spans="2:13" ht="15" customHeight="1">
      <c r="B145" s="557"/>
      <c r="C145" s="19"/>
      <c r="D145" s="19"/>
      <c r="E145" s="19"/>
      <c r="F145" s="19"/>
      <c r="G145" s="273"/>
      <c r="H145" s="606"/>
      <c r="I145" s="606"/>
      <c r="J145" s="607"/>
    </row>
    <row r="146" spans="2:13" ht="15" customHeight="1">
      <c r="B146" s="557"/>
      <c r="C146" s="19"/>
      <c r="D146" s="19"/>
      <c r="E146" s="19"/>
      <c r="F146" s="19"/>
      <c r="G146" s="19"/>
      <c r="H146" s="19"/>
      <c r="I146" s="19"/>
      <c r="J146" s="284"/>
    </row>
    <row r="147" spans="2:13" ht="15" customHeight="1">
      <c r="B147" s="557"/>
      <c r="C147" s="19"/>
      <c r="D147" s="19"/>
      <c r="E147" s="19"/>
      <c r="F147" s="19" t="s">
        <v>750</v>
      </c>
      <c r="G147" s="19"/>
      <c r="H147" s="285"/>
      <c r="I147" s="608" t="s">
        <v>212</v>
      </c>
      <c r="J147" s="594"/>
    </row>
    <row r="148" spans="2:13" ht="15" customHeight="1">
      <c r="B148" s="557"/>
      <c r="C148" s="19"/>
      <c r="D148" s="19"/>
      <c r="E148" s="19"/>
      <c r="F148" s="9"/>
      <c r="G148" s="19"/>
      <c r="H148" s="285"/>
      <c r="I148" s="300"/>
      <c r="J148" s="301"/>
    </row>
    <row r="149" spans="2:13" ht="15" customHeight="1">
      <c r="B149" s="557"/>
      <c r="C149" s="19"/>
      <c r="D149" s="19"/>
      <c r="E149" s="19"/>
      <c r="F149" s="19" t="s">
        <v>751</v>
      </c>
      <c r="G149" s="9"/>
      <c r="H149" s="285"/>
      <c r="I149" s="597" t="s">
        <v>7</v>
      </c>
      <c r="J149" s="594"/>
    </row>
    <row r="150" spans="2:13" ht="15" customHeight="1">
      <c r="B150" s="557"/>
      <c r="C150" s="19"/>
      <c r="D150" s="19"/>
      <c r="E150" s="19"/>
      <c r="F150" s="19"/>
      <c r="G150" s="19"/>
      <c r="H150" s="285"/>
      <c r="I150" s="300"/>
      <c r="J150" s="301"/>
    </row>
    <row r="151" spans="2:13" ht="15" customHeight="1">
      <c r="B151" s="287" t="s">
        <v>772</v>
      </c>
      <c r="C151" s="19"/>
      <c r="D151" s="19"/>
      <c r="E151" s="19"/>
      <c r="F151" s="19" t="s">
        <v>752</v>
      </c>
      <c r="G151" s="19"/>
      <c r="H151" s="285"/>
      <c r="I151" s="558" t="s">
        <v>785</v>
      </c>
      <c r="J151" s="594"/>
    </row>
    <row r="152" spans="2:13" ht="15" customHeight="1">
      <c r="B152" s="560" t="s">
        <v>773</v>
      </c>
      <c r="C152" s="19"/>
      <c r="D152" s="19"/>
      <c r="E152" s="19"/>
      <c r="F152" s="19"/>
      <c r="G152" s="19"/>
      <c r="H152" s="285"/>
      <c r="I152" s="19"/>
      <c r="J152" s="284"/>
    </row>
    <row r="153" spans="2:13" ht="15" customHeight="1">
      <c r="B153" s="560"/>
      <c r="C153" s="19"/>
      <c r="D153" s="19"/>
      <c r="E153" s="19"/>
      <c r="F153" s="19" t="s">
        <v>779</v>
      </c>
      <c r="G153" s="9"/>
      <c r="H153" s="285"/>
      <c r="I153" s="297"/>
      <c r="J153" s="284"/>
    </row>
    <row r="154" spans="2:13" ht="15" customHeight="1">
      <c r="B154" s="560"/>
      <c r="C154" s="19"/>
      <c r="D154" s="19"/>
      <c r="E154" s="19"/>
      <c r="F154" s="9"/>
      <c r="G154" s="19"/>
      <c r="H154" s="285"/>
      <c r="I154" s="288"/>
      <c r="J154" s="284"/>
    </row>
    <row r="155" spans="2:13" ht="15" customHeight="1">
      <c r="B155" s="560"/>
      <c r="C155" s="19"/>
      <c r="D155" s="19"/>
      <c r="E155" s="19"/>
      <c r="F155" s="289" t="s">
        <v>753</v>
      </c>
      <c r="G155" s="289"/>
      <c r="H155" s="595" t="s">
        <v>754</v>
      </c>
      <c r="I155" s="595"/>
      <c r="J155" s="596"/>
    </row>
    <row r="156" spans="2:13" ht="15" customHeight="1">
      <c r="B156" s="560"/>
      <c r="C156" s="19"/>
      <c r="D156" s="19"/>
      <c r="E156" s="19"/>
      <c r="F156" s="289" t="s">
        <v>755</v>
      </c>
      <c r="G156" s="289"/>
      <c r="H156" s="595" t="s">
        <v>756</v>
      </c>
      <c r="I156" s="595"/>
      <c r="J156" s="596"/>
    </row>
    <row r="157" spans="2:13" ht="15" customHeight="1">
      <c r="B157" s="560"/>
      <c r="C157" s="19"/>
      <c r="D157" s="19"/>
      <c r="E157" s="19"/>
      <c r="F157" s="289" t="s">
        <v>757</v>
      </c>
      <c r="G157" s="289"/>
      <c r="H157" s="595" t="s">
        <v>758</v>
      </c>
      <c r="I157" s="595"/>
      <c r="J157" s="596"/>
    </row>
    <row r="158" spans="2:13" ht="16" customHeight="1" thickBot="1">
      <c r="B158" s="561"/>
      <c r="C158" s="291"/>
      <c r="D158" s="291"/>
      <c r="E158" s="291"/>
      <c r="F158" s="292" t="s">
        <v>759</v>
      </c>
      <c r="G158" s="292"/>
      <c r="H158" s="598" t="s">
        <v>760</v>
      </c>
      <c r="I158" s="598"/>
      <c r="J158" s="599"/>
    </row>
    <row r="159" spans="2:13" ht="16" thickBot="1"/>
    <row r="160" spans="2:13" ht="19" thickBot="1">
      <c r="B160" s="554" t="s">
        <v>1</v>
      </c>
      <c r="C160" s="555"/>
      <c r="D160" s="555"/>
      <c r="E160" s="555"/>
      <c r="F160" s="555"/>
      <c r="G160" s="555"/>
      <c r="H160" s="555"/>
      <c r="I160" s="555"/>
      <c r="J160" s="556"/>
      <c r="L160" s="551" t="s">
        <v>852</v>
      </c>
      <c r="M160" s="551"/>
    </row>
    <row r="161" spans="2:13">
      <c r="B161" s="294" t="s">
        <v>770</v>
      </c>
      <c r="C161" s="295"/>
      <c r="D161" s="295"/>
      <c r="E161" s="295"/>
      <c r="F161" s="295"/>
      <c r="G161" s="295"/>
      <c r="H161" s="295"/>
      <c r="I161" s="295"/>
      <c r="J161" s="296"/>
      <c r="L161" s="551"/>
      <c r="M161" s="551"/>
    </row>
    <row r="162" spans="2:13">
      <c r="B162" s="557" t="s">
        <v>819</v>
      </c>
      <c r="C162" s="19"/>
      <c r="D162" s="19"/>
      <c r="E162" s="19"/>
      <c r="F162" s="558" t="s">
        <v>749</v>
      </c>
      <c r="G162" s="558"/>
      <c r="H162" s="273" t="s">
        <v>433</v>
      </c>
      <c r="I162" s="273"/>
      <c r="J162" s="307"/>
      <c r="L162" s="551"/>
      <c r="M162" s="551"/>
    </row>
    <row r="163" spans="2:13">
      <c r="B163" s="557"/>
      <c r="C163" s="19"/>
      <c r="D163" s="19"/>
      <c r="E163" s="19"/>
      <c r="F163" s="19"/>
      <c r="G163" s="273"/>
      <c r="H163" s="273"/>
      <c r="I163" s="273"/>
      <c r="J163" s="307"/>
    </row>
    <row r="164" spans="2:13">
      <c r="B164" s="557"/>
      <c r="C164" s="19"/>
      <c r="D164" s="19"/>
      <c r="E164" s="19"/>
      <c r="F164" s="19"/>
      <c r="G164" s="19"/>
      <c r="H164" s="19"/>
      <c r="I164" s="285"/>
      <c r="J164" s="284"/>
    </row>
    <row r="165" spans="2:13">
      <c r="B165" s="557"/>
      <c r="C165" s="19"/>
      <c r="D165" s="19"/>
      <c r="E165" s="19"/>
      <c r="F165" s="19" t="s">
        <v>750</v>
      </c>
      <c r="G165" s="19"/>
      <c r="H165" s="285"/>
      <c r="I165" s="549" t="s">
        <v>212</v>
      </c>
      <c r="J165" s="550"/>
    </row>
    <row r="166" spans="2:13">
      <c r="B166" s="557"/>
      <c r="C166" s="19"/>
      <c r="D166" s="19"/>
      <c r="E166" s="19"/>
      <c r="F166" s="9"/>
      <c r="G166" s="19"/>
      <c r="H166" s="285"/>
      <c r="I166" s="382"/>
      <c r="J166" s="305"/>
    </row>
    <row r="167" spans="2:13">
      <c r="B167" s="557"/>
      <c r="C167" s="19"/>
      <c r="D167" s="19"/>
      <c r="E167" s="19"/>
      <c r="F167" s="19" t="s">
        <v>751</v>
      </c>
      <c r="G167" s="9"/>
      <c r="H167" s="285"/>
      <c r="I167" s="589" t="s">
        <v>213</v>
      </c>
      <c r="J167" s="550"/>
    </row>
    <row r="168" spans="2:13">
      <c r="B168" s="557"/>
      <c r="C168" s="19"/>
      <c r="D168" s="19"/>
      <c r="E168" s="19"/>
      <c r="F168" s="19"/>
      <c r="G168" s="19"/>
      <c r="H168" s="285"/>
      <c r="I168" s="382"/>
      <c r="J168" s="305"/>
    </row>
    <row r="169" spans="2:13">
      <c r="B169" s="287" t="s">
        <v>772</v>
      </c>
      <c r="C169" s="19"/>
      <c r="D169" s="19"/>
      <c r="E169" s="19"/>
      <c r="F169" s="19" t="s">
        <v>752</v>
      </c>
      <c r="G169" s="19"/>
      <c r="H169" s="285"/>
      <c r="I169" s="550" t="s">
        <v>820</v>
      </c>
      <c r="J169" s="550"/>
    </row>
    <row r="170" spans="2:13">
      <c r="B170" s="560" t="s">
        <v>824</v>
      </c>
      <c r="C170" s="19"/>
      <c r="D170" s="19"/>
      <c r="E170" s="19"/>
      <c r="F170" s="19"/>
      <c r="G170" s="19"/>
      <c r="H170" s="285"/>
      <c r="I170" s="19"/>
      <c r="J170" s="284"/>
    </row>
    <row r="171" spans="2:13">
      <c r="B171" s="560"/>
      <c r="C171" s="19"/>
      <c r="D171" s="19"/>
      <c r="E171" s="19"/>
      <c r="F171" s="19" t="s">
        <v>816</v>
      </c>
      <c r="G171" s="9"/>
      <c r="H171" s="285"/>
      <c r="I171" s="297"/>
      <c r="J171" s="284"/>
    </row>
    <row r="172" spans="2:13">
      <c r="B172" s="560"/>
      <c r="C172" s="19"/>
      <c r="D172" s="19"/>
      <c r="E172" s="19"/>
      <c r="F172" s="9"/>
      <c r="G172" s="19"/>
      <c r="H172" s="285"/>
      <c r="I172" s="19"/>
      <c r="J172" s="284"/>
    </row>
    <row r="173" spans="2:13">
      <c r="B173" s="560"/>
      <c r="C173" s="19"/>
      <c r="D173" s="19"/>
      <c r="E173" s="19"/>
      <c r="F173" s="289" t="s">
        <v>753</v>
      </c>
      <c r="G173" s="289"/>
      <c r="H173" s="289"/>
      <c r="I173" s="289" t="s">
        <v>818</v>
      </c>
      <c r="J173" s="290"/>
    </row>
    <row r="174" spans="2:13">
      <c r="B174" s="560"/>
      <c r="C174" s="19"/>
      <c r="D174" s="19"/>
      <c r="E174" s="19"/>
      <c r="F174" s="289" t="s">
        <v>757</v>
      </c>
      <c r="G174" s="289"/>
      <c r="H174" s="289"/>
      <c r="I174" s="289" t="s">
        <v>822</v>
      </c>
      <c r="J174" s="290"/>
    </row>
    <row r="175" spans="2:13">
      <c r="B175" s="560"/>
      <c r="C175" s="19"/>
      <c r="D175" s="19"/>
      <c r="E175" s="19"/>
      <c r="F175" s="289" t="s">
        <v>759</v>
      </c>
      <c r="G175" s="289"/>
      <c r="H175" s="289"/>
      <c r="I175" s="289" t="s">
        <v>821</v>
      </c>
      <c r="J175" s="290"/>
    </row>
    <row r="176" spans="2:13" ht="16" thickBot="1">
      <c r="B176" s="561"/>
      <c r="C176" s="291"/>
      <c r="D176" s="291"/>
      <c r="E176" s="291"/>
      <c r="F176" s="292"/>
      <c r="G176" s="292"/>
      <c r="H176" s="292"/>
      <c r="I176" s="292"/>
      <c r="J176" s="293"/>
    </row>
    <row r="177" spans="2:13" ht="16" thickBot="1"/>
    <row r="178" spans="2:13" ht="19" thickBot="1">
      <c r="B178" s="554" t="s">
        <v>833</v>
      </c>
      <c r="C178" s="555"/>
      <c r="D178" s="555"/>
      <c r="E178" s="555"/>
      <c r="F178" s="555"/>
      <c r="G178" s="555"/>
      <c r="H178" s="555"/>
      <c r="I178" s="555"/>
      <c r="J178" s="556"/>
      <c r="L178" s="551" t="s">
        <v>852</v>
      </c>
      <c r="M178" s="551"/>
    </row>
    <row r="179" spans="2:13">
      <c r="B179" s="294" t="s">
        <v>770</v>
      </c>
      <c r="C179" s="295"/>
      <c r="D179" s="295"/>
      <c r="E179" s="295"/>
      <c r="F179" s="295"/>
      <c r="G179" s="295"/>
      <c r="H179" s="295"/>
      <c r="I179" s="295"/>
      <c r="J179" s="296"/>
      <c r="L179" s="551"/>
      <c r="M179" s="551"/>
    </row>
    <row r="180" spans="2:13">
      <c r="B180" s="557" t="s">
        <v>845</v>
      </c>
      <c r="C180" s="19"/>
      <c r="D180" s="19"/>
      <c r="E180" s="19"/>
      <c r="F180" s="558" t="s">
        <v>749</v>
      </c>
      <c r="G180" s="558"/>
      <c r="H180" s="273" t="s">
        <v>827</v>
      </c>
      <c r="I180" s="273"/>
      <c r="J180" s="307"/>
      <c r="L180" s="551"/>
      <c r="M180" s="551"/>
    </row>
    <row r="181" spans="2:13">
      <c r="B181" s="557"/>
      <c r="C181" s="19"/>
      <c r="D181" s="19"/>
      <c r="E181" s="19"/>
      <c r="F181" s="19"/>
      <c r="G181" s="273"/>
      <c r="H181" s="273"/>
      <c r="I181" s="273"/>
      <c r="J181" s="307"/>
    </row>
    <row r="182" spans="2:13">
      <c r="B182" s="557"/>
      <c r="C182" s="19"/>
      <c r="D182" s="19"/>
      <c r="E182" s="19"/>
      <c r="F182" s="19"/>
      <c r="G182" s="19"/>
      <c r="H182" s="19"/>
      <c r="I182" s="285"/>
      <c r="J182" s="284"/>
    </row>
    <row r="183" spans="2:13">
      <c r="B183" s="557"/>
      <c r="C183" s="19"/>
      <c r="D183" s="19"/>
      <c r="E183" s="19"/>
      <c r="F183" s="19" t="s">
        <v>750</v>
      </c>
      <c r="G183" s="19"/>
      <c r="H183" s="285"/>
      <c r="I183" s="549" t="s">
        <v>212</v>
      </c>
      <c r="J183" s="550"/>
    </row>
    <row r="184" spans="2:13">
      <c r="B184" s="557"/>
      <c r="C184" s="19"/>
      <c r="D184" s="19"/>
      <c r="E184" s="19"/>
      <c r="F184" s="9"/>
      <c r="G184" s="19"/>
      <c r="H184" s="285"/>
      <c r="I184" s="382"/>
      <c r="J184" s="305"/>
    </row>
    <row r="185" spans="2:13">
      <c r="B185" s="557"/>
      <c r="C185" s="19"/>
      <c r="D185" s="19"/>
      <c r="E185" s="19"/>
      <c r="F185" s="19" t="s">
        <v>751</v>
      </c>
      <c r="G185" s="9"/>
      <c r="H185" s="285"/>
      <c r="I185" s="589" t="s">
        <v>213</v>
      </c>
      <c r="J185" s="550"/>
    </row>
    <row r="186" spans="2:13">
      <c r="B186" s="557"/>
      <c r="C186" s="19"/>
      <c r="D186" s="19"/>
      <c r="E186" s="19"/>
      <c r="F186" s="19"/>
      <c r="G186" s="19"/>
      <c r="H186" s="285"/>
      <c r="I186" s="382"/>
      <c r="J186" s="305"/>
    </row>
    <row r="187" spans="2:13">
      <c r="B187" s="287" t="s">
        <v>772</v>
      </c>
      <c r="C187" s="19"/>
      <c r="D187" s="19"/>
      <c r="E187" s="19"/>
      <c r="F187" s="19" t="s">
        <v>752</v>
      </c>
      <c r="G187" s="19"/>
      <c r="H187" s="285"/>
      <c r="I187" s="550" t="s">
        <v>847</v>
      </c>
      <c r="J187" s="550"/>
    </row>
    <row r="188" spans="2:13">
      <c r="B188" s="560" t="s">
        <v>843</v>
      </c>
      <c r="C188" s="19"/>
      <c r="D188" s="19"/>
      <c r="E188" s="19"/>
      <c r="F188" s="19"/>
      <c r="G188" s="19"/>
      <c r="H188" s="285"/>
      <c r="I188" s="19"/>
      <c r="J188" s="284"/>
    </row>
    <row r="189" spans="2:13">
      <c r="B189" s="560"/>
      <c r="C189" s="19"/>
      <c r="D189" s="19"/>
      <c r="E189" s="19"/>
      <c r="F189" s="19" t="s">
        <v>844</v>
      </c>
      <c r="G189" s="9"/>
      <c r="H189" s="285"/>
      <c r="I189" s="297"/>
      <c r="J189" s="284"/>
    </row>
    <row r="190" spans="2:13">
      <c r="B190" s="560"/>
      <c r="C190" s="19"/>
      <c r="D190" s="19"/>
      <c r="E190" s="19"/>
      <c r="F190" s="9"/>
      <c r="G190" s="19"/>
      <c r="H190" s="285"/>
      <c r="I190" s="19"/>
      <c r="J190" s="284"/>
    </row>
    <row r="191" spans="2:13">
      <c r="B191" s="560"/>
      <c r="C191" s="19"/>
      <c r="D191" s="19"/>
      <c r="E191" s="19"/>
      <c r="F191" s="289" t="s">
        <v>753</v>
      </c>
      <c r="G191" s="289"/>
      <c r="H191" s="289"/>
      <c r="I191" s="289" t="s">
        <v>846</v>
      </c>
      <c r="J191" s="290"/>
    </row>
    <row r="192" spans="2:13">
      <c r="B192" s="560"/>
      <c r="C192" s="19"/>
      <c r="D192" s="19"/>
      <c r="E192" s="19"/>
      <c r="F192" s="289" t="s">
        <v>757</v>
      </c>
      <c r="G192" s="289"/>
      <c r="H192" s="289"/>
      <c r="I192" s="289" t="s">
        <v>849</v>
      </c>
      <c r="J192" s="290"/>
    </row>
    <row r="193" spans="2:13">
      <c r="B193" s="560"/>
      <c r="C193" s="19"/>
      <c r="D193" s="19"/>
      <c r="E193" s="19"/>
      <c r="F193" s="289" t="s">
        <v>759</v>
      </c>
      <c r="G193" s="289"/>
      <c r="H193" s="289"/>
      <c r="I193" s="289" t="s">
        <v>848</v>
      </c>
      <c r="J193" s="290"/>
    </row>
    <row r="194" spans="2:13" ht="16" thickBot="1">
      <c r="B194" s="561"/>
      <c r="C194" s="291"/>
      <c r="D194" s="291"/>
      <c r="E194" s="291"/>
      <c r="F194" s="292"/>
      <c r="G194" s="292"/>
      <c r="H194" s="292"/>
      <c r="I194" s="292"/>
      <c r="J194" s="293"/>
    </row>
    <row r="195" spans="2:13" ht="16" thickBot="1"/>
    <row r="196" spans="2:13" ht="19" thickBot="1">
      <c r="B196" s="590" t="s">
        <v>879</v>
      </c>
      <c r="C196" s="591"/>
      <c r="D196" s="591"/>
      <c r="E196" s="591"/>
      <c r="F196" s="591"/>
      <c r="G196" s="591"/>
      <c r="H196" s="591"/>
      <c r="I196" s="591"/>
      <c r="J196" s="592"/>
      <c r="L196" s="551" t="s">
        <v>852</v>
      </c>
      <c r="M196" s="551"/>
    </row>
    <row r="197" spans="2:13">
      <c r="B197" s="294" t="s">
        <v>770</v>
      </c>
      <c r="C197" s="295"/>
      <c r="D197" s="295"/>
      <c r="E197" s="295"/>
      <c r="F197" s="295"/>
      <c r="G197" s="295"/>
      <c r="H197" s="295"/>
      <c r="I197" s="295"/>
      <c r="J197" s="296"/>
      <c r="L197" s="551"/>
      <c r="M197" s="551"/>
    </row>
    <row r="198" spans="2:13">
      <c r="B198" s="557" t="s">
        <v>878</v>
      </c>
      <c r="C198" s="19"/>
      <c r="D198" s="19"/>
      <c r="E198" s="19"/>
      <c r="F198" s="558" t="s">
        <v>749</v>
      </c>
      <c r="G198" s="558"/>
      <c r="H198" s="273" t="s">
        <v>433</v>
      </c>
      <c r="I198" s="273"/>
      <c r="J198" s="307"/>
      <c r="L198" s="551"/>
      <c r="M198" s="551"/>
    </row>
    <row r="199" spans="2:13">
      <c r="B199" s="557"/>
      <c r="C199" s="19"/>
      <c r="D199" s="19"/>
      <c r="E199" s="19"/>
      <c r="F199" s="19"/>
      <c r="G199" s="273"/>
      <c r="H199" s="273"/>
      <c r="I199" s="273"/>
      <c r="J199" s="307"/>
    </row>
    <row r="200" spans="2:13">
      <c r="B200" s="557"/>
      <c r="C200" s="19"/>
      <c r="D200" s="19"/>
      <c r="E200" s="19"/>
      <c r="F200" s="19"/>
      <c r="G200" s="19"/>
      <c r="H200" s="19"/>
      <c r="I200" s="285"/>
      <c r="J200" s="284"/>
    </row>
    <row r="201" spans="2:13">
      <c r="B201" s="557"/>
      <c r="C201" s="19"/>
      <c r="D201" s="19"/>
      <c r="E201" s="19"/>
      <c r="F201" s="19" t="s">
        <v>750</v>
      </c>
      <c r="G201" s="19"/>
      <c r="H201" s="285"/>
      <c r="I201" s="589" t="s">
        <v>7</v>
      </c>
      <c r="J201" s="550"/>
    </row>
    <row r="202" spans="2:13">
      <c r="B202" s="557"/>
      <c r="C202" s="19"/>
      <c r="D202" s="19"/>
      <c r="E202" s="19"/>
      <c r="F202" s="9"/>
      <c r="G202" s="19"/>
      <c r="H202" s="285"/>
      <c r="I202" s="382"/>
      <c r="J202" s="305"/>
    </row>
    <row r="203" spans="2:13">
      <c r="B203" s="557"/>
      <c r="C203" s="19"/>
      <c r="D203" s="19"/>
      <c r="E203" s="19"/>
      <c r="F203" s="19" t="s">
        <v>751</v>
      </c>
      <c r="G203" s="9"/>
      <c r="H203" s="285"/>
      <c r="I203" s="549" t="s">
        <v>212</v>
      </c>
      <c r="J203" s="550"/>
    </row>
    <row r="204" spans="2:13">
      <c r="B204" s="557"/>
      <c r="C204" s="19"/>
      <c r="D204" s="19"/>
      <c r="E204" s="19"/>
      <c r="F204" s="19"/>
      <c r="G204" s="19"/>
      <c r="H204" s="285"/>
      <c r="I204" s="382"/>
      <c r="J204" s="305"/>
    </row>
    <row r="205" spans="2:13">
      <c r="B205" s="287" t="s">
        <v>772</v>
      </c>
      <c r="C205" s="19"/>
      <c r="D205" s="19"/>
      <c r="E205" s="19"/>
      <c r="F205" s="19" t="s">
        <v>752</v>
      </c>
      <c r="G205" s="19"/>
      <c r="I205" s="552" t="s">
        <v>880</v>
      </c>
      <c r="J205" s="553"/>
    </row>
    <row r="206" spans="2:13">
      <c r="B206" s="560" t="s">
        <v>836</v>
      </c>
      <c r="C206" s="19"/>
      <c r="D206" s="19"/>
      <c r="E206" s="19"/>
      <c r="F206" s="19"/>
      <c r="G206" s="19"/>
      <c r="H206" s="285"/>
      <c r="I206" s="19"/>
      <c r="J206" s="284"/>
    </row>
    <row r="207" spans="2:13">
      <c r="B207" s="560"/>
      <c r="C207" s="19"/>
      <c r="D207" s="19"/>
      <c r="E207" s="19"/>
      <c r="F207" s="19" t="s">
        <v>882</v>
      </c>
      <c r="G207" s="9"/>
      <c r="H207" s="285"/>
      <c r="I207" s="297"/>
      <c r="J207" s="284"/>
    </row>
    <row r="208" spans="2:13">
      <c r="B208" s="560"/>
      <c r="C208" s="19"/>
      <c r="D208" s="19"/>
      <c r="E208" s="19"/>
      <c r="F208" s="9"/>
      <c r="G208" s="19"/>
      <c r="H208" s="285"/>
      <c r="I208" s="19"/>
      <c r="J208" s="284"/>
    </row>
    <row r="209" spans="2:13">
      <c r="B209" s="560"/>
      <c r="C209" s="19"/>
      <c r="D209" s="19"/>
      <c r="E209" s="19"/>
      <c r="F209" s="289" t="s">
        <v>753</v>
      </c>
      <c r="G209" s="289"/>
      <c r="H209" s="289"/>
      <c r="I209" s="289" t="s">
        <v>881</v>
      </c>
      <c r="J209" s="290"/>
    </row>
    <row r="210" spans="2:13">
      <c r="B210" s="560"/>
      <c r="C210" s="19"/>
      <c r="D210" s="19"/>
      <c r="E210" s="19"/>
      <c r="F210" s="289" t="s">
        <v>757</v>
      </c>
      <c r="G210" s="289"/>
      <c r="H210" s="289"/>
      <c r="I210" s="289" t="s">
        <v>883</v>
      </c>
      <c r="J210" s="290"/>
    </row>
    <row r="211" spans="2:13">
      <c r="B211" s="560"/>
      <c r="C211" s="19"/>
      <c r="D211" s="19"/>
      <c r="E211" s="19"/>
      <c r="F211" s="289" t="s">
        <v>759</v>
      </c>
      <c r="G211" s="289"/>
      <c r="H211" s="289"/>
      <c r="I211" s="289" t="s">
        <v>832</v>
      </c>
      <c r="J211" s="290"/>
    </row>
    <row r="212" spans="2:13" ht="16" thickBot="1">
      <c r="B212" s="561"/>
      <c r="C212" s="291"/>
      <c r="D212" s="291"/>
      <c r="E212" s="291"/>
      <c r="F212" s="292"/>
      <c r="G212" s="292"/>
      <c r="H212" s="292"/>
      <c r="I212" s="292"/>
      <c r="J212" s="293"/>
    </row>
    <row r="213" spans="2:13" ht="16" thickBot="1"/>
    <row r="214" spans="2:13" ht="19" thickBot="1">
      <c r="B214" s="554" t="s">
        <v>800</v>
      </c>
      <c r="C214" s="555"/>
      <c r="D214" s="555"/>
      <c r="E214" s="555"/>
      <c r="F214" s="555"/>
      <c r="G214" s="555"/>
      <c r="H214" s="555"/>
      <c r="I214" s="555"/>
      <c r="J214" s="556"/>
      <c r="L214" s="551" t="s">
        <v>852</v>
      </c>
      <c r="M214" s="551"/>
    </row>
    <row r="215" spans="2:13">
      <c r="B215" s="294" t="s">
        <v>770</v>
      </c>
      <c r="C215" s="295"/>
      <c r="D215" s="295"/>
      <c r="E215" s="295"/>
      <c r="F215" s="295"/>
      <c r="G215" s="295"/>
      <c r="H215" s="295"/>
      <c r="I215" s="295"/>
      <c r="J215" s="296"/>
      <c r="L215" s="551"/>
      <c r="M215" s="551"/>
    </row>
    <row r="216" spans="2:13">
      <c r="B216" s="557" t="s">
        <v>841</v>
      </c>
      <c r="C216" s="19"/>
      <c r="D216" s="19"/>
      <c r="E216" s="19"/>
      <c r="F216" s="558" t="s">
        <v>749</v>
      </c>
      <c r="G216" s="558"/>
      <c r="H216" s="273" t="s">
        <v>433</v>
      </c>
      <c r="I216" s="273"/>
      <c r="J216" s="307"/>
      <c r="L216" s="551"/>
      <c r="M216" s="551"/>
    </row>
    <row r="217" spans="2:13">
      <c r="B217" s="557"/>
      <c r="C217" s="19"/>
      <c r="D217" s="19"/>
      <c r="E217" s="19"/>
      <c r="F217" s="19"/>
      <c r="G217" s="273"/>
      <c r="H217" s="273"/>
      <c r="I217" s="273"/>
      <c r="J217" s="307"/>
    </row>
    <row r="218" spans="2:13">
      <c r="B218" s="557"/>
      <c r="C218" s="19"/>
      <c r="D218" s="19"/>
      <c r="E218" s="19"/>
      <c r="F218" s="19"/>
      <c r="G218" s="19"/>
      <c r="H218" s="19"/>
      <c r="I218" s="285"/>
      <c r="J218" s="284"/>
    </row>
    <row r="219" spans="2:13">
      <c r="B219" s="557"/>
      <c r="C219" s="19"/>
      <c r="D219" s="19"/>
      <c r="E219" s="19"/>
      <c r="F219" s="19" t="s">
        <v>750</v>
      </c>
      <c r="G219" s="19"/>
      <c r="H219" s="285"/>
      <c r="I219" s="549" t="s">
        <v>212</v>
      </c>
      <c r="J219" s="550"/>
    </row>
    <row r="220" spans="2:13">
      <c r="B220" s="557"/>
      <c r="C220" s="19"/>
      <c r="D220" s="19"/>
      <c r="E220" s="19"/>
      <c r="F220" s="9"/>
      <c r="G220" s="19"/>
      <c r="H220" s="285"/>
      <c r="I220" s="382"/>
      <c r="J220" s="305"/>
    </row>
    <row r="221" spans="2:13">
      <c r="B221" s="557"/>
      <c r="C221" s="19"/>
      <c r="D221" s="19"/>
      <c r="E221" s="19"/>
      <c r="F221" s="19" t="s">
        <v>751</v>
      </c>
      <c r="G221" s="9"/>
      <c r="H221" s="285"/>
      <c r="I221" s="589" t="s">
        <v>213</v>
      </c>
      <c r="J221" s="550"/>
    </row>
    <row r="222" spans="2:13">
      <c r="B222" s="557"/>
      <c r="C222" s="19"/>
      <c r="D222" s="19"/>
      <c r="E222" s="19"/>
      <c r="F222" s="19"/>
      <c r="G222" s="19"/>
      <c r="H222" s="285"/>
      <c r="I222" s="382"/>
      <c r="J222" s="305"/>
    </row>
    <row r="223" spans="2:13">
      <c r="B223" s="287" t="s">
        <v>772</v>
      </c>
      <c r="C223" s="19"/>
      <c r="D223" s="19"/>
      <c r="E223" s="19"/>
      <c r="F223" s="19" t="s">
        <v>752</v>
      </c>
      <c r="G223" s="19"/>
      <c r="H223" s="285"/>
      <c r="I223" s="550" t="s">
        <v>903</v>
      </c>
      <c r="J223" s="550"/>
    </row>
    <row r="224" spans="2:13">
      <c r="B224" s="560" t="s">
        <v>842</v>
      </c>
      <c r="C224" s="19"/>
      <c r="D224" s="19"/>
      <c r="E224" s="19"/>
      <c r="F224" s="19"/>
      <c r="G224" s="19"/>
      <c r="H224" s="285"/>
      <c r="I224" s="19"/>
      <c r="J224" s="284"/>
    </row>
    <row r="225" spans="2:13">
      <c r="B225" s="560"/>
      <c r="C225" s="19"/>
      <c r="D225" s="19"/>
      <c r="E225" s="19"/>
      <c r="F225" s="19" t="s">
        <v>887</v>
      </c>
      <c r="G225" s="9"/>
      <c r="H225" s="285"/>
      <c r="I225" s="297"/>
      <c r="J225" s="284"/>
    </row>
    <row r="226" spans="2:13">
      <c r="B226" s="560"/>
      <c r="C226" s="19"/>
      <c r="D226" s="19"/>
      <c r="E226" s="19"/>
      <c r="F226" s="9"/>
      <c r="G226" s="19"/>
      <c r="H226" s="285"/>
      <c r="I226" s="19"/>
      <c r="J226" s="284"/>
    </row>
    <row r="227" spans="2:13">
      <c r="B227" s="560"/>
      <c r="C227" s="19"/>
      <c r="D227" s="19"/>
      <c r="E227" s="19"/>
      <c r="F227" s="289" t="s">
        <v>753</v>
      </c>
      <c r="G227" s="289"/>
      <c r="H227" s="289"/>
      <c r="I227" s="289" t="s">
        <v>906</v>
      </c>
      <c r="J227" s="290"/>
    </row>
    <row r="228" spans="2:13">
      <c r="B228" s="560"/>
      <c r="C228" s="19"/>
      <c r="D228" s="19"/>
      <c r="E228" s="19"/>
      <c r="F228" s="289" t="s">
        <v>757</v>
      </c>
      <c r="G228" s="289"/>
      <c r="H228" s="289"/>
      <c r="I228" s="289" t="s">
        <v>904</v>
      </c>
      <c r="J228" s="290"/>
    </row>
    <row r="229" spans="2:13">
      <c r="B229" s="560"/>
      <c r="C229" s="19"/>
      <c r="D229" s="19"/>
      <c r="E229" s="19"/>
      <c r="F229" s="289" t="s">
        <v>759</v>
      </c>
      <c r="G229" s="289"/>
      <c r="H229" s="289"/>
      <c r="I229" s="289" t="s">
        <v>905</v>
      </c>
      <c r="J229" s="290"/>
    </row>
    <row r="230" spans="2:13" ht="16" thickBot="1">
      <c r="B230" s="561"/>
      <c r="C230" s="291"/>
      <c r="D230" s="291"/>
      <c r="E230" s="291"/>
      <c r="F230" s="292"/>
      <c r="G230" s="292"/>
      <c r="H230" s="292"/>
      <c r="I230" s="292"/>
      <c r="J230" s="293"/>
    </row>
    <row r="231" spans="2:13" ht="16" thickBot="1"/>
    <row r="232" spans="2:13" ht="19" thickBot="1">
      <c r="B232" s="590" t="s">
        <v>834</v>
      </c>
      <c r="C232" s="591"/>
      <c r="D232" s="591"/>
      <c r="E232" s="591"/>
      <c r="F232" s="591"/>
      <c r="G232" s="591"/>
      <c r="H232" s="591"/>
      <c r="I232" s="591"/>
      <c r="J232" s="592"/>
      <c r="L232" s="551" t="s">
        <v>852</v>
      </c>
      <c r="M232" s="551"/>
    </row>
    <row r="233" spans="2:13">
      <c r="B233" s="294" t="s">
        <v>770</v>
      </c>
      <c r="C233" s="295"/>
      <c r="D233" s="295"/>
      <c r="E233" s="295"/>
      <c r="F233" s="295"/>
      <c r="G233" s="295"/>
      <c r="H233" s="295"/>
      <c r="I233" s="295"/>
      <c r="J233" s="296"/>
      <c r="L233" s="551"/>
      <c r="M233" s="551"/>
    </row>
    <row r="234" spans="2:13">
      <c r="B234" s="557" t="s">
        <v>850</v>
      </c>
      <c r="C234" s="19"/>
      <c r="D234" s="19"/>
      <c r="E234" s="19"/>
      <c r="F234" s="558" t="s">
        <v>749</v>
      </c>
      <c r="G234" s="558"/>
      <c r="H234" s="273" t="s">
        <v>827</v>
      </c>
      <c r="I234" s="273"/>
      <c r="J234" s="307"/>
      <c r="L234" s="551"/>
      <c r="M234" s="551"/>
    </row>
    <row r="235" spans="2:13">
      <c r="B235" s="557"/>
      <c r="C235" s="19"/>
      <c r="D235" s="19"/>
      <c r="E235" s="19"/>
      <c r="F235" s="19"/>
      <c r="G235" s="273"/>
      <c r="H235" s="273"/>
      <c r="I235" s="273"/>
      <c r="J235" s="307"/>
    </row>
    <row r="236" spans="2:13">
      <c r="B236" s="557"/>
      <c r="C236" s="19"/>
      <c r="D236" s="19"/>
      <c r="E236" s="19"/>
      <c r="F236" s="19"/>
      <c r="G236" s="19"/>
      <c r="H236" s="19"/>
      <c r="I236" s="285"/>
      <c r="J236" s="284"/>
    </row>
    <row r="237" spans="2:13">
      <c r="B237" s="557"/>
      <c r="C237" s="19"/>
      <c r="D237" s="19"/>
      <c r="E237" s="19"/>
      <c r="F237" s="19" t="s">
        <v>750</v>
      </c>
      <c r="G237" s="19"/>
      <c r="H237" s="285"/>
      <c r="I237" s="589" t="s">
        <v>7</v>
      </c>
      <c r="J237" s="550"/>
    </row>
    <row r="238" spans="2:13">
      <c r="B238" s="557"/>
      <c r="C238" s="19"/>
      <c r="D238" s="19"/>
      <c r="E238" s="19"/>
      <c r="F238" s="9"/>
      <c r="G238" s="19"/>
      <c r="H238" s="285"/>
      <c r="I238" s="382"/>
      <c r="J238" s="305"/>
    </row>
    <row r="239" spans="2:13">
      <c r="B239" s="557"/>
      <c r="C239" s="19"/>
      <c r="D239" s="19"/>
      <c r="E239" s="19"/>
      <c r="F239" s="19" t="s">
        <v>751</v>
      </c>
      <c r="G239" s="9"/>
      <c r="H239" s="285"/>
      <c r="I239" s="559" t="s">
        <v>7</v>
      </c>
      <c r="J239" s="550"/>
    </row>
    <row r="240" spans="2:13">
      <c r="B240" s="557"/>
      <c r="C240" s="19"/>
      <c r="D240" s="19"/>
      <c r="E240" s="19"/>
      <c r="F240" s="19"/>
      <c r="G240" s="19"/>
      <c r="H240" s="285"/>
      <c r="I240" s="382"/>
      <c r="J240" s="305"/>
    </row>
    <row r="241" spans="2:13">
      <c r="B241" s="287" t="s">
        <v>772</v>
      </c>
      <c r="C241" s="19"/>
      <c r="D241" s="19"/>
      <c r="E241" s="19"/>
      <c r="F241" s="19" t="s">
        <v>752</v>
      </c>
      <c r="G241" s="19"/>
      <c r="H241" s="285"/>
      <c r="I241" s="559" t="s">
        <v>853</v>
      </c>
      <c r="J241" s="550"/>
    </row>
    <row r="242" spans="2:13">
      <c r="B242" s="560" t="s">
        <v>851</v>
      </c>
      <c r="C242" s="19"/>
      <c r="D242" s="19"/>
      <c r="E242" s="19"/>
      <c r="F242" s="19"/>
      <c r="G242" s="19"/>
      <c r="H242" s="285"/>
      <c r="I242" s="19"/>
      <c r="J242" s="284"/>
    </row>
    <row r="243" spans="2:13">
      <c r="B243" s="560"/>
      <c r="C243" s="19"/>
      <c r="D243" s="19"/>
      <c r="E243" s="19"/>
      <c r="F243" s="19" t="s">
        <v>804</v>
      </c>
      <c r="G243" s="9"/>
      <c r="H243" s="285"/>
      <c r="I243" s="297"/>
      <c r="J243" s="284"/>
    </row>
    <row r="244" spans="2:13">
      <c r="B244" s="560"/>
      <c r="C244" s="19"/>
      <c r="D244" s="19"/>
      <c r="E244" s="19"/>
      <c r="F244" s="9"/>
      <c r="G244" s="19"/>
      <c r="H244" s="285"/>
      <c r="I244" s="19"/>
      <c r="J244" s="284"/>
    </row>
    <row r="245" spans="2:13">
      <c r="B245" s="560"/>
      <c r="C245" s="19"/>
      <c r="D245" s="19"/>
      <c r="E245" s="19"/>
      <c r="F245" s="289" t="s">
        <v>753</v>
      </c>
      <c r="G245" s="289"/>
      <c r="H245" s="289"/>
      <c r="I245" s="289" t="s">
        <v>854</v>
      </c>
      <c r="J245" s="290"/>
    </row>
    <row r="246" spans="2:13">
      <c r="B246" s="560"/>
      <c r="C246" s="19"/>
      <c r="D246" s="19"/>
      <c r="E246" s="19"/>
      <c r="F246" s="289" t="s">
        <v>757</v>
      </c>
      <c r="G246" s="289"/>
      <c r="H246" s="289"/>
      <c r="I246" s="289" t="s">
        <v>855</v>
      </c>
      <c r="J246" s="290"/>
    </row>
    <row r="247" spans="2:13">
      <c r="B247" s="560"/>
      <c r="C247" s="19"/>
      <c r="D247" s="19"/>
      <c r="E247" s="19"/>
      <c r="F247" s="289" t="s">
        <v>759</v>
      </c>
      <c r="G247" s="289"/>
      <c r="H247" s="289"/>
      <c r="I247" s="289" t="s">
        <v>832</v>
      </c>
      <c r="J247" s="290"/>
    </row>
    <row r="248" spans="2:13" ht="16" thickBot="1">
      <c r="B248" s="561"/>
      <c r="C248" s="291"/>
      <c r="D248" s="291"/>
      <c r="E248" s="291"/>
      <c r="F248" s="292"/>
      <c r="G248" s="292"/>
      <c r="H248" s="292"/>
      <c r="I248" s="292"/>
      <c r="J248" s="293"/>
    </row>
    <row r="249" spans="2:13" ht="16" thickBot="1"/>
    <row r="250" spans="2:13" ht="19" thickBot="1">
      <c r="B250" s="590" t="s">
        <v>791</v>
      </c>
      <c r="C250" s="591"/>
      <c r="D250" s="591"/>
      <c r="E250" s="591"/>
      <c r="F250" s="591"/>
      <c r="G250" s="591"/>
      <c r="H250" s="591"/>
      <c r="I250" s="591"/>
      <c r="J250" s="592"/>
      <c r="L250" s="551" t="s">
        <v>852</v>
      </c>
      <c r="M250" s="551"/>
    </row>
    <row r="251" spans="2:13">
      <c r="B251" s="294" t="s">
        <v>770</v>
      </c>
      <c r="C251" s="295"/>
      <c r="D251" s="295"/>
      <c r="E251" s="295"/>
      <c r="F251" s="295"/>
      <c r="G251" s="295"/>
      <c r="H251" s="295"/>
      <c r="I251" s="295"/>
      <c r="J251" s="296"/>
      <c r="L251" s="551"/>
      <c r="M251" s="551"/>
    </row>
    <row r="252" spans="2:13">
      <c r="B252" s="557" t="s">
        <v>874</v>
      </c>
      <c r="C252" s="19"/>
      <c r="D252" s="19"/>
      <c r="E252" s="19"/>
      <c r="F252" s="558" t="s">
        <v>749</v>
      </c>
      <c r="G252" s="558"/>
      <c r="H252" s="273" t="s">
        <v>827</v>
      </c>
      <c r="I252" s="273"/>
      <c r="J252" s="307"/>
      <c r="L252" s="551"/>
      <c r="M252" s="551"/>
    </row>
    <row r="253" spans="2:13">
      <c r="B253" s="557"/>
      <c r="C253" s="19"/>
      <c r="D253" s="19"/>
      <c r="E253" s="19"/>
      <c r="F253" s="19"/>
      <c r="G253" s="273"/>
      <c r="H253" s="273"/>
      <c r="I253" s="273"/>
      <c r="J253" s="307"/>
    </row>
    <row r="254" spans="2:13">
      <c r="B254" s="557"/>
      <c r="C254" s="19"/>
      <c r="D254" s="19"/>
      <c r="E254" s="19"/>
      <c r="F254" s="19"/>
      <c r="G254" s="19"/>
      <c r="H254" s="19"/>
      <c r="I254" s="285"/>
      <c r="J254" s="284"/>
    </row>
    <row r="255" spans="2:13">
      <c r="B255" s="557"/>
      <c r="C255" s="19"/>
      <c r="D255" s="19"/>
      <c r="E255" s="19"/>
      <c r="F255" s="19" t="s">
        <v>750</v>
      </c>
      <c r="G255" s="19"/>
      <c r="H255" s="285"/>
      <c r="I255" s="559" t="s">
        <v>213</v>
      </c>
      <c r="J255" s="550"/>
    </row>
    <row r="256" spans="2:13">
      <c r="B256" s="557"/>
      <c r="C256" s="19"/>
      <c r="D256" s="19"/>
      <c r="E256" s="19"/>
      <c r="F256" s="9"/>
      <c r="G256" s="19"/>
      <c r="H256" s="285"/>
      <c r="I256" s="382"/>
      <c r="J256" s="305"/>
    </row>
    <row r="257" spans="2:13">
      <c r="B257" s="557"/>
      <c r="C257" s="19"/>
      <c r="D257" s="19"/>
      <c r="E257" s="19"/>
      <c r="F257" s="19" t="s">
        <v>751</v>
      </c>
      <c r="G257" s="9"/>
      <c r="H257" s="285"/>
      <c r="I257" s="559" t="s">
        <v>7</v>
      </c>
      <c r="J257" s="550"/>
    </row>
    <row r="258" spans="2:13">
      <c r="B258" s="557"/>
      <c r="C258" s="19"/>
      <c r="D258" s="19"/>
      <c r="E258" s="19"/>
      <c r="F258" s="19"/>
      <c r="G258" s="19"/>
      <c r="H258" s="285"/>
      <c r="I258" s="382"/>
      <c r="J258" s="305"/>
    </row>
    <row r="259" spans="2:13">
      <c r="B259" s="287" t="s">
        <v>772</v>
      </c>
      <c r="C259" s="19"/>
      <c r="D259" s="19"/>
      <c r="E259" s="19"/>
      <c r="F259" s="19" t="s">
        <v>752</v>
      </c>
      <c r="G259" s="19"/>
      <c r="H259" s="285"/>
      <c r="I259" s="550" t="s">
        <v>872</v>
      </c>
      <c r="J259" s="550"/>
    </row>
    <row r="260" spans="2:13">
      <c r="B260" s="560" t="s">
        <v>875</v>
      </c>
      <c r="C260" s="19"/>
      <c r="D260" s="19"/>
      <c r="E260" s="19"/>
      <c r="F260" s="19"/>
      <c r="G260" s="19"/>
      <c r="H260" s="285"/>
      <c r="I260" s="19"/>
      <c r="J260" s="284"/>
    </row>
    <row r="261" spans="2:13">
      <c r="B261" s="560"/>
      <c r="C261" s="19"/>
      <c r="D261" s="19"/>
      <c r="E261" s="19"/>
      <c r="F261" s="19" t="s">
        <v>816</v>
      </c>
      <c r="G261" s="9"/>
      <c r="H261" s="285"/>
      <c r="I261" s="297"/>
      <c r="J261" s="284"/>
    </row>
    <row r="262" spans="2:13">
      <c r="B262" s="560"/>
      <c r="C262" s="19"/>
      <c r="D262" s="19"/>
      <c r="E262" s="19"/>
      <c r="F262" s="9"/>
      <c r="G262" s="19"/>
      <c r="H262" s="285"/>
      <c r="I262" s="19"/>
      <c r="J262" s="284"/>
    </row>
    <row r="263" spans="2:13">
      <c r="B263" s="560"/>
      <c r="C263" s="19"/>
      <c r="D263" s="19"/>
      <c r="E263" s="19"/>
      <c r="F263" s="289" t="s">
        <v>753</v>
      </c>
      <c r="G263" s="289"/>
      <c r="H263" s="289"/>
      <c r="I263" s="289" t="s">
        <v>876</v>
      </c>
      <c r="J263" s="290"/>
    </row>
    <row r="264" spans="2:13">
      <c r="B264" s="560"/>
      <c r="C264" s="19"/>
      <c r="D264" s="19"/>
      <c r="E264" s="19"/>
      <c r="F264" s="289" t="s">
        <v>757</v>
      </c>
      <c r="G264" s="289"/>
      <c r="H264" s="289"/>
      <c r="I264" s="289" t="s">
        <v>877</v>
      </c>
      <c r="J264" s="290"/>
    </row>
    <row r="265" spans="2:13">
      <c r="B265" s="560"/>
      <c r="C265" s="19"/>
      <c r="D265" s="19"/>
      <c r="E265" s="19"/>
      <c r="F265" s="289" t="s">
        <v>759</v>
      </c>
      <c r="G265" s="289"/>
      <c r="H265" s="289"/>
      <c r="I265" s="289" t="s">
        <v>814</v>
      </c>
      <c r="J265" s="290"/>
    </row>
    <row r="266" spans="2:13" ht="16" thickBot="1">
      <c r="B266" s="561"/>
      <c r="C266" s="291"/>
      <c r="D266" s="291"/>
      <c r="E266" s="291"/>
      <c r="F266" s="292"/>
      <c r="G266" s="292"/>
      <c r="H266" s="292"/>
      <c r="I266" s="292"/>
      <c r="J266" s="293"/>
    </row>
    <row r="267" spans="2:13" ht="16" thickBot="1"/>
    <row r="268" spans="2:13" ht="19" thickBot="1">
      <c r="B268" s="609" t="s">
        <v>810</v>
      </c>
      <c r="C268" s="610"/>
      <c r="D268" s="610"/>
      <c r="E268" s="610"/>
      <c r="F268" s="610"/>
      <c r="G268" s="610"/>
      <c r="H268" s="610"/>
      <c r="I268" s="610"/>
      <c r="J268" s="611"/>
      <c r="L268" s="551" t="s">
        <v>852</v>
      </c>
      <c r="M268" s="551"/>
    </row>
    <row r="269" spans="2:13">
      <c r="B269" s="294" t="s">
        <v>770</v>
      </c>
      <c r="C269" s="295"/>
      <c r="D269" s="295"/>
      <c r="E269" s="295"/>
      <c r="F269" s="295"/>
      <c r="G269" s="295"/>
      <c r="H269" s="295"/>
      <c r="I269" s="295"/>
      <c r="J269" s="296"/>
      <c r="L269" s="551"/>
      <c r="M269" s="551"/>
    </row>
    <row r="270" spans="2:13">
      <c r="B270" s="557" t="s">
        <v>811</v>
      </c>
      <c r="C270" s="19"/>
      <c r="D270" s="19"/>
      <c r="E270" s="19"/>
      <c r="F270" s="558" t="s">
        <v>749</v>
      </c>
      <c r="G270" s="558"/>
      <c r="H270" s="273" t="s">
        <v>813</v>
      </c>
      <c r="I270" s="273"/>
      <c r="J270" s="307"/>
      <c r="L270" s="551"/>
      <c r="M270" s="551"/>
    </row>
    <row r="271" spans="2:13">
      <c r="B271" s="557"/>
      <c r="C271" s="19"/>
      <c r="D271" s="19"/>
      <c r="E271" s="19"/>
      <c r="F271" s="19"/>
      <c r="G271" s="273"/>
      <c r="H271" s="273"/>
      <c r="I271" s="273"/>
      <c r="J271" s="307"/>
    </row>
    <row r="272" spans="2:13">
      <c r="B272" s="557"/>
      <c r="C272" s="19"/>
      <c r="D272" s="19"/>
      <c r="E272" s="19"/>
      <c r="F272" s="19"/>
      <c r="G272" s="19"/>
      <c r="H272" s="19"/>
      <c r="I272" s="285"/>
      <c r="J272" s="284"/>
    </row>
    <row r="273" spans="2:13">
      <c r="B273" s="557"/>
      <c r="C273" s="19"/>
      <c r="D273" s="19"/>
      <c r="E273" s="19"/>
      <c r="F273" s="19" t="s">
        <v>750</v>
      </c>
      <c r="G273" s="19"/>
      <c r="H273" s="285"/>
      <c r="I273" s="549" t="s">
        <v>212</v>
      </c>
      <c r="J273" s="550"/>
    </row>
    <row r="274" spans="2:13">
      <c r="B274" s="557"/>
      <c r="C274" s="19"/>
      <c r="D274" s="19"/>
      <c r="E274" s="19"/>
      <c r="F274" s="9"/>
      <c r="G274" s="19"/>
      <c r="H274" s="285"/>
      <c r="I274" s="382"/>
      <c r="J274" s="305"/>
    </row>
    <row r="275" spans="2:13">
      <c r="B275" s="557"/>
      <c r="C275" s="19"/>
      <c r="D275" s="19"/>
      <c r="E275" s="19"/>
      <c r="F275" s="19" t="s">
        <v>751</v>
      </c>
      <c r="G275" s="9"/>
      <c r="H275" s="285"/>
      <c r="I275" s="589" t="s">
        <v>213</v>
      </c>
      <c r="J275" s="550"/>
    </row>
    <row r="276" spans="2:13">
      <c r="B276" s="557"/>
      <c r="C276" s="19"/>
      <c r="D276" s="19"/>
      <c r="E276" s="19"/>
      <c r="F276" s="19"/>
      <c r="G276" s="19"/>
      <c r="H276" s="285"/>
      <c r="I276" s="382"/>
      <c r="J276" s="305"/>
    </row>
    <row r="277" spans="2:13">
      <c r="B277" s="287" t="s">
        <v>772</v>
      </c>
      <c r="C277" s="19"/>
      <c r="D277" s="19"/>
      <c r="E277" s="19"/>
      <c r="F277" s="19" t="s">
        <v>752</v>
      </c>
      <c r="G277" s="19"/>
      <c r="H277" s="285"/>
      <c r="I277" s="550" t="s">
        <v>817</v>
      </c>
      <c r="J277" s="550"/>
    </row>
    <row r="278" spans="2:13">
      <c r="B278" s="560" t="s">
        <v>812</v>
      </c>
      <c r="C278" s="19"/>
      <c r="D278" s="19"/>
      <c r="E278" s="19"/>
      <c r="F278" s="19"/>
      <c r="G278" s="19"/>
      <c r="H278" s="285"/>
      <c r="I278" s="19"/>
      <c r="J278" s="284"/>
    </row>
    <row r="279" spans="2:13">
      <c r="B279" s="560"/>
      <c r="C279" s="19"/>
      <c r="D279" s="19"/>
      <c r="E279" s="19"/>
      <c r="F279" s="19" t="s">
        <v>816</v>
      </c>
      <c r="G279" s="9"/>
      <c r="H279" s="285"/>
      <c r="I279" s="297"/>
      <c r="J279" s="284"/>
    </row>
    <row r="280" spans="2:13">
      <c r="B280" s="560"/>
      <c r="C280" s="19"/>
      <c r="D280" s="19"/>
      <c r="E280" s="19"/>
      <c r="F280" s="9"/>
      <c r="G280" s="19"/>
      <c r="H280" s="285"/>
      <c r="I280" s="19"/>
      <c r="J280" s="284"/>
    </row>
    <row r="281" spans="2:13">
      <c r="B281" s="560"/>
      <c r="C281" s="19"/>
      <c r="D281" s="19"/>
      <c r="E281" s="19"/>
      <c r="F281" s="289" t="s">
        <v>753</v>
      </c>
      <c r="G281" s="289"/>
      <c r="H281" s="289"/>
      <c r="I281" s="289" t="s">
        <v>815</v>
      </c>
      <c r="J281" s="290"/>
    </row>
    <row r="282" spans="2:13">
      <c r="B282" s="560"/>
      <c r="C282" s="19"/>
      <c r="D282" s="19"/>
      <c r="E282" s="19"/>
      <c r="F282" s="289" t="s">
        <v>757</v>
      </c>
      <c r="G282" s="289"/>
      <c r="H282" s="289"/>
      <c r="I282" s="289" t="s">
        <v>823</v>
      </c>
      <c r="J282" s="290"/>
    </row>
    <row r="283" spans="2:13">
      <c r="B283" s="560"/>
      <c r="C283" s="19"/>
      <c r="D283" s="19"/>
      <c r="E283" s="19"/>
      <c r="F283" s="289" t="s">
        <v>759</v>
      </c>
      <c r="G283" s="289"/>
      <c r="H283" s="289"/>
      <c r="I283" s="289" t="s">
        <v>814</v>
      </c>
      <c r="J283" s="290"/>
    </row>
    <row r="284" spans="2:13" ht="16" thickBot="1">
      <c r="B284" s="561"/>
      <c r="C284" s="291"/>
      <c r="D284" s="291"/>
      <c r="E284" s="291"/>
      <c r="F284" s="292"/>
      <c r="G284" s="292"/>
      <c r="H284" s="292"/>
      <c r="I284" s="292"/>
      <c r="J284" s="293"/>
    </row>
    <row r="285" spans="2:13" ht="16" thickBot="1"/>
    <row r="286" spans="2:13" ht="19" customHeight="1" thickBot="1">
      <c r="B286" s="554" t="s">
        <v>295</v>
      </c>
      <c r="C286" s="555"/>
      <c r="D286" s="555"/>
      <c r="E286" s="555"/>
      <c r="F286" s="555"/>
      <c r="G286" s="555"/>
      <c r="H286" s="555"/>
      <c r="I286" s="555"/>
      <c r="J286" s="556"/>
      <c r="L286" s="551" t="s">
        <v>852</v>
      </c>
      <c r="M286" s="551"/>
    </row>
    <row r="287" spans="2:13" ht="15" customHeight="1">
      <c r="B287" s="294" t="s">
        <v>770</v>
      </c>
      <c r="C287" s="295"/>
      <c r="D287" s="295"/>
      <c r="E287" s="295"/>
      <c r="F287" s="295"/>
      <c r="G287" s="295"/>
      <c r="H287" s="295"/>
      <c r="I287" s="295"/>
      <c r="J287" s="296"/>
      <c r="L287" s="551"/>
      <c r="M287" s="551"/>
    </row>
    <row r="288" spans="2:13" ht="15" customHeight="1">
      <c r="B288" s="557" t="s">
        <v>776</v>
      </c>
      <c r="C288" s="19"/>
      <c r="D288" s="19"/>
      <c r="E288" s="19"/>
      <c r="F288" s="558" t="s">
        <v>749</v>
      </c>
      <c r="G288" s="558"/>
      <c r="H288" s="273" t="s">
        <v>766</v>
      </c>
      <c r="I288" s="274"/>
      <c r="J288" s="306"/>
      <c r="L288" s="551"/>
      <c r="M288" s="551"/>
    </row>
    <row r="289" spans="2:13" ht="15" customHeight="1">
      <c r="B289" s="557"/>
      <c r="C289" s="19"/>
      <c r="D289" s="19"/>
      <c r="E289" s="19"/>
      <c r="F289" s="19"/>
      <c r="G289" s="273"/>
      <c r="H289" s="274"/>
      <c r="I289" s="274"/>
      <c r="J289" s="306"/>
    </row>
    <row r="290" spans="2:13" ht="15" customHeight="1">
      <c r="B290" s="557"/>
      <c r="C290" s="19"/>
      <c r="D290" s="19"/>
      <c r="E290" s="19"/>
      <c r="F290" s="19"/>
      <c r="G290" s="19"/>
      <c r="H290" s="19"/>
      <c r="I290" s="19"/>
      <c r="J290" s="284"/>
    </row>
    <row r="291" spans="2:13" ht="15" customHeight="1">
      <c r="B291" s="557"/>
      <c r="C291" s="19"/>
      <c r="D291" s="19"/>
      <c r="E291" s="19"/>
      <c r="F291" s="19" t="s">
        <v>750</v>
      </c>
      <c r="G291" s="19"/>
      <c r="H291" s="285"/>
      <c r="I291" s="549" t="s">
        <v>212</v>
      </c>
      <c r="J291" s="550"/>
    </row>
    <row r="292" spans="2:13" ht="15" customHeight="1">
      <c r="B292" s="557"/>
      <c r="C292" s="19"/>
      <c r="D292" s="19"/>
      <c r="E292" s="19"/>
      <c r="F292" s="9"/>
      <c r="G292" s="19"/>
      <c r="H292" s="285"/>
      <c r="I292" s="298"/>
      <c r="J292" s="305"/>
    </row>
    <row r="293" spans="2:13" ht="15" customHeight="1">
      <c r="B293" s="557"/>
      <c r="C293" s="19"/>
      <c r="D293" s="19"/>
      <c r="E293" s="19"/>
      <c r="F293" s="19" t="s">
        <v>751</v>
      </c>
      <c r="G293" s="9"/>
      <c r="H293" s="285"/>
      <c r="I293" s="549" t="s">
        <v>212</v>
      </c>
      <c r="J293" s="550"/>
    </row>
    <row r="294" spans="2:13" ht="15" customHeight="1">
      <c r="B294" s="557"/>
      <c r="C294" s="19"/>
      <c r="D294" s="19"/>
      <c r="E294" s="19"/>
      <c r="F294" s="19"/>
      <c r="G294" s="19"/>
      <c r="H294" s="285"/>
      <c r="I294" s="298"/>
      <c r="J294" s="305"/>
    </row>
    <row r="295" spans="2:13" ht="15" customHeight="1">
      <c r="B295" s="287" t="s">
        <v>772</v>
      </c>
      <c r="C295" s="19"/>
      <c r="D295" s="19"/>
      <c r="E295" s="19"/>
      <c r="F295" s="19" t="s">
        <v>752</v>
      </c>
      <c r="G295" s="19"/>
      <c r="H295" s="285"/>
      <c r="I295" s="550" t="s">
        <v>786</v>
      </c>
      <c r="J295" s="550"/>
    </row>
    <row r="296" spans="2:13" ht="15" customHeight="1">
      <c r="B296" s="560" t="s">
        <v>777</v>
      </c>
      <c r="C296" s="19"/>
      <c r="D296" s="19"/>
      <c r="E296" s="19"/>
      <c r="F296" s="19"/>
      <c r="G296" s="19"/>
      <c r="H296" s="285"/>
      <c r="I296" s="285"/>
      <c r="J296" s="286"/>
    </row>
    <row r="297" spans="2:13" ht="15" customHeight="1">
      <c r="B297" s="560"/>
      <c r="C297" s="19"/>
      <c r="D297" s="19"/>
      <c r="E297" s="19"/>
      <c r="F297" s="19" t="s">
        <v>780</v>
      </c>
      <c r="G297" s="9"/>
      <c r="H297" s="285"/>
      <c r="I297" s="19"/>
      <c r="J297" s="284"/>
    </row>
    <row r="298" spans="2:13" ht="15" customHeight="1">
      <c r="B298" s="560"/>
      <c r="C298" s="19"/>
      <c r="D298" s="19"/>
      <c r="E298" s="19"/>
      <c r="F298" s="9"/>
      <c r="G298" s="19"/>
      <c r="H298" s="285"/>
      <c r="I298" s="19"/>
      <c r="J298" s="284"/>
    </row>
    <row r="299" spans="2:13" ht="15" customHeight="1">
      <c r="B299" s="560"/>
      <c r="C299" s="19"/>
      <c r="D299" s="19"/>
      <c r="E299" s="19"/>
      <c r="F299" s="289" t="s">
        <v>753</v>
      </c>
      <c r="G299" s="289"/>
      <c r="H299" s="289"/>
      <c r="I299" s="289" t="s">
        <v>767</v>
      </c>
      <c r="J299" s="290"/>
    </row>
    <row r="300" spans="2:13" ht="15" customHeight="1">
      <c r="B300" s="560"/>
      <c r="C300" s="19"/>
      <c r="D300" s="19"/>
      <c r="E300" s="19"/>
      <c r="F300" s="289" t="s">
        <v>757</v>
      </c>
      <c r="G300" s="289"/>
      <c r="H300" s="289"/>
      <c r="I300" s="289" t="s">
        <v>768</v>
      </c>
      <c r="J300" s="290"/>
    </row>
    <row r="301" spans="2:13" ht="15" customHeight="1">
      <c r="B301" s="560"/>
      <c r="C301" s="19"/>
      <c r="D301" s="19"/>
      <c r="E301" s="19"/>
      <c r="F301" s="289" t="s">
        <v>759</v>
      </c>
      <c r="G301" s="289"/>
      <c r="H301" s="289"/>
      <c r="I301" s="289" t="s">
        <v>769</v>
      </c>
      <c r="J301" s="290"/>
    </row>
    <row r="302" spans="2:13" ht="16" customHeight="1" thickBot="1">
      <c r="B302" s="561"/>
      <c r="C302" s="291"/>
      <c r="D302" s="291"/>
      <c r="E302" s="291"/>
      <c r="F302" s="292"/>
      <c r="G302" s="292"/>
      <c r="H302" s="292"/>
      <c r="I302" s="292"/>
      <c r="J302" s="293"/>
    </row>
    <row r="303" spans="2:13" ht="16" thickBot="1"/>
    <row r="304" spans="2:13" ht="19" thickBot="1">
      <c r="B304" s="554" t="s">
        <v>796</v>
      </c>
      <c r="C304" s="555"/>
      <c r="D304" s="555"/>
      <c r="E304" s="555"/>
      <c r="F304" s="555"/>
      <c r="G304" s="555"/>
      <c r="H304" s="555"/>
      <c r="I304" s="555"/>
      <c r="J304" s="556"/>
      <c r="L304" s="551" t="s">
        <v>852</v>
      </c>
      <c r="M304" s="551"/>
    </row>
    <row r="305" spans="2:13">
      <c r="B305" s="294" t="s">
        <v>770</v>
      </c>
      <c r="C305" s="295"/>
      <c r="D305" s="295"/>
      <c r="E305" s="295"/>
      <c r="F305" s="295"/>
      <c r="G305" s="295"/>
      <c r="H305" s="295"/>
      <c r="I305" s="295"/>
      <c r="J305" s="296"/>
      <c r="L305" s="551"/>
      <c r="M305" s="551"/>
    </row>
    <row r="306" spans="2:13">
      <c r="B306" s="557" t="s">
        <v>776</v>
      </c>
      <c r="C306" s="19"/>
      <c r="D306" s="19"/>
      <c r="E306" s="19"/>
      <c r="F306" s="558" t="s">
        <v>749</v>
      </c>
      <c r="G306" s="558"/>
      <c r="H306" s="273" t="s">
        <v>766</v>
      </c>
      <c r="I306" s="273"/>
      <c r="J306" s="307"/>
      <c r="L306" s="551"/>
      <c r="M306" s="551"/>
    </row>
    <row r="307" spans="2:13">
      <c r="B307" s="557"/>
      <c r="C307" s="19"/>
      <c r="D307" s="19"/>
      <c r="E307" s="19"/>
      <c r="F307" s="19"/>
      <c r="G307" s="273"/>
      <c r="H307" s="273"/>
      <c r="I307" s="273"/>
      <c r="J307" s="307"/>
    </row>
    <row r="308" spans="2:13">
      <c r="B308" s="557"/>
      <c r="C308" s="19"/>
      <c r="D308" s="19"/>
      <c r="E308" s="19"/>
      <c r="F308" s="19"/>
      <c r="G308" s="19"/>
      <c r="H308" s="19"/>
      <c r="I308" s="285"/>
      <c r="J308" s="284"/>
    </row>
    <row r="309" spans="2:13">
      <c r="B309" s="557"/>
      <c r="C309" s="19"/>
      <c r="D309" s="19"/>
      <c r="E309" s="19"/>
      <c r="F309" s="19" t="s">
        <v>750</v>
      </c>
      <c r="G309" s="19"/>
      <c r="H309" s="285"/>
      <c r="I309" s="549" t="s">
        <v>212</v>
      </c>
      <c r="J309" s="550"/>
    </row>
    <row r="310" spans="2:13">
      <c r="B310" s="557"/>
      <c r="C310" s="19"/>
      <c r="D310" s="19"/>
      <c r="E310" s="19"/>
      <c r="F310" s="9"/>
      <c r="G310" s="19"/>
      <c r="H310" s="285"/>
      <c r="I310" s="383"/>
      <c r="J310" s="305"/>
    </row>
    <row r="311" spans="2:13">
      <c r="B311" s="557"/>
      <c r="C311" s="19"/>
      <c r="D311" s="19"/>
      <c r="E311" s="19"/>
      <c r="F311" s="19" t="s">
        <v>751</v>
      </c>
      <c r="G311" s="9"/>
      <c r="H311" s="285"/>
      <c r="I311" s="559" t="s">
        <v>7</v>
      </c>
      <c r="J311" s="550"/>
    </row>
    <row r="312" spans="2:13">
      <c r="B312" s="557"/>
      <c r="C312" s="19"/>
      <c r="D312" s="19"/>
      <c r="E312" s="19"/>
      <c r="F312" s="19"/>
      <c r="G312" s="19"/>
      <c r="H312" s="285"/>
      <c r="I312" s="383"/>
      <c r="J312" s="305"/>
    </row>
    <row r="313" spans="2:13">
      <c r="B313" s="287" t="s">
        <v>772</v>
      </c>
      <c r="C313" s="19"/>
      <c r="D313" s="19"/>
      <c r="E313" s="19"/>
      <c r="F313" s="19" t="s">
        <v>752</v>
      </c>
      <c r="G313" s="19"/>
      <c r="H313" s="285"/>
      <c r="I313" s="550" t="s">
        <v>907</v>
      </c>
      <c r="J313" s="550"/>
    </row>
    <row r="314" spans="2:13">
      <c r="B314" s="560" t="s">
        <v>777</v>
      </c>
      <c r="C314" s="19"/>
      <c r="D314" s="19"/>
      <c r="E314" s="19"/>
      <c r="F314" s="19"/>
      <c r="G314" s="19"/>
      <c r="H314" s="285"/>
      <c r="I314" s="19"/>
      <c r="J314" s="284"/>
    </row>
    <row r="315" spans="2:13">
      <c r="B315" s="560"/>
      <c r="C315" s="19"/>
      <c r="D315" s="19"/>
      <c r="E315" s="19"/>
      <c r="F315" s="19" t="s">
        <v>804</v>
      </c>
      <c r="G315" s="9"/>
      <c r="H315" s="285"/>
      <c r="I315" s="297"/>
      <c r="J315" s="284"/>
    </row>
    <row r="316" spans="2:13">
      <c r="B316" s="560"/>
      <c r="C316" s="19"/>
      <c r="D316" s="19"/>
      <c r="E316" s="19"/>
      <c r="F316" s="9"/>
      <c r="G316" s="19"/>
      <c r="H316" s="285"/>
      <c r="I316" s="19"/>
      <c r="J316" s="284"/>
    </row>
    <row r="317" spans="2:13">
      <c r="B317" s="560"/>
      <c r="C317" s="19"/>
      <c r="D317" s="19"/>
      <c r="E317" s="19"/>
      <c r="F317" s="289" t="s">
        <v>753</v>
      </c>
      <c r="G317" s="289"/>
      <c r="H317" s="289"/>
      <c r="I317" s="289" t="s">
        <v>910</v>
      </c>
      <c r="J317" s="290"/>
    </row>
    <row r="318" spans="2:13">
      <c r="B318" s="560"/>
      <c r="C318" s="19"/>
      <c r="D318" s="19"/>
      <c r="E318" s="19"/>
      <c r="F318" s="289" t="s">
        <v>757</v>
      </c>
      <c r="G318" s="289"/>
      <c r="H318" s="289"/>
      <c r="I318" s="289" t="s">
        <v>908</v>
      </c>
      <c r="J318" s="290"/>
    </row>
    <row r="319" spans="2:13">
      <c r="B319" s="560"/>
      <c r="C319" s="19"/>
      <c r="D319" s="19"/>
      <c r="E319" s="19"/>
      <c r="F319" s="289" t="s">
        <v>759</v>
      </c>
      <c r="G319" s="289"/>
      <c r="H319" s="289"/>
      <c r="I319" s="289" t="s">
        <v>909</v>
      </c>
      <c r="J319" s="290"/>
    </row>
    <row r="320" spans="2:13" ht="16" thickBot="1">
      <c r="B320" s="561"/>
      <c r="C320" s="291"/>
      <c r="D320" s="291"/>
      <c r="E320" s="291"/>
      <c r="F320" s="292"/>
      <c r="G320" s="292"/>
      <c r="H320" s="292"/>
      <c r="I320" s="292"/>
      <c r="J320" s="293"/>
    </row>
    <row r="321" spans="2:13" ht="16" thickBot="1"/>
    <row r="322" spans="2:13" ht="19" thickBot="1">
      <c r="B322" s="590" t="s">
        <v>794</v>
      </c>
      <c r="C322" s="591"/>
      <c r="D322" s="591"/>
      <c r="E322" s="591"/>
      <c r="F322" s="591"/>
      <c r="G322" s="591"/>
      <c r="H322" s="591"/>
      <c r="I322" s="591"/>
      <c r="J322" s="592"/>
      <c r="L322" s="551" t="s">
        <v>852</v>
      </c>
      <c r="M322" s="551"/>
    </row>
    <row r="323" spans="2:13">
      <c r="B323" s="294" t="s">
        <v>770</v>
      </c>
      <c r="C323" s="295"/>
      <c r="D323" s="295"/>
      <c r="E323" s="295"/>
      <c r="F323" s="295"/>
      <c r="G323" s="295"/>
      <c r="H323" s="295"/>
      <c r="I323" s="295"/>
      <c r="J323" s="296"/>
      <c r="L323" s="551"/>
      <c r="M323" s="551"/>
    </row>
    <row r="324" spans="2:13">
      <c r="B324" s="557" t="s">
        <v>835</v>
      </c>
      <c r="C324" s="19"/>
      <c r="D324" s="19"/>
      <c r="E324" s="19"/>
      <c r="F324" s="558" t="s">
        <v>749</v>
      </c>
      <c r="G324" s="558"/>
      <c r="H324" s="273" t="s">
        <v>827</v>
      </c>
      <c r="I324" s="273"/>
      <c r="J324" s="307"/>
      <c r="L324" s="551"/>
      <c r="M324" s="551"/>
    </row>
    <row r="325" spans="2:13">
      <c r="B325" s="557"/>
      <c r="C325" s="19"/>
      <c r="D325" s="19"/>
      <c r="E325" s="19"/>
      <c r="F325" s="19"/>
      <c r="G325" s="273"/>
      <c r="H325" s="273"/>
      <c r="I325" s="273"/>
      <c r="J325" s="307"/>
    </row>
    <row r="326" spans="2:13">
      <c r="B326" s="557"/>
      <c r="C326" s="19"/>
      <c r="D326" s="19"/>
      <c r="E326" s="19"/>
      <c r="F326" s="19"/>
      <c r="G326" s="19"/>
      <c r="H326" s="19"/>
      <c r="I326" s="285"/>
      <c r="J326" s="284"/>
    </row>
    <row r="327" spans="2:13">
      <c r="B327" s="557"/>
      <c r="C327" s="19"/>
      <c r="D327" s="19"/>
      <c r="E327" s="19"/>
      <c r="F327" s="19" t="s">
        <v>750</v>
      </c>
      <c r="G327" s="19"/>
      <c r="H327" s="285"/>
      <c r="I327" s="559" t="s">
        <v>213</v>
      </c>
      <c r="J327" s="550"/>
    </row>
    <row r="328" spans="2:13">
      <c r="B328" s="557"/>
      <c r="C328" s="19"/>
      <c r="D328" s="19"/>
      <c r="E328" s="19"/>
      <c r="F328" s="9"/>
      <c r="G328" s="19"/>
      <c r="H328" s="285"/>
      <c r="I328" s="382"/>
      <c r="J328" s="305"/>
    </row>
    <row r="329" spans="2:13">
      <c r="B329" s="557"/>
      <c r="C329" s="19"/>
      <c r="D329" s="19"/>
      <c r="E329" s="19"/>
      <c r="F329" s="19" t="s">
        <v>751</v>
      </c>
      <c r="G329" s="9"/>
      <c r="H329" s="285"/>
      <c r="I329" s="589" t="s">
        <v>213</v>
      </c>
      <c r="J329" s="550"/>
    </row>
    <row r="330" spans="2:13">
      <c r="B330" s="557"/>
      <c r="C330" s="19"/>
      <c r="D330" s="19"/>
      <c r="E330" s="19"/>
      <c r="F330" s="19"/>
      <c r="G330" s="19"/>
      <c r="H330" s="285"/>
      <c r="I330" s="382"/>
      <c r="J330" s="305"/>
    </row>
    <row r="331" spans="2:13">
      <c r="B331" s="287" t="s">
        <v>772</v>
      </c>
      <c r="C331" s="19"/>
      <c r="D331" s="19"/>
      <c r="E331" s="19"/>
      <c r="F331" s="19" t="s">
        <v>752</v>
      </c>
      <c r="G331" s="19"/>
      <c r="H331" s="285"/>
      <c r="I331" s="550" t="s">
        <v>872</v>
      </c>
      <c r="J331" s="550"/>
    </row>
    <row r="332" spans="2:13">
      <c r="B332" s="560" t="s">
        <v>871</v>
      </c>
      <c r="C332" s="19"/>
      <c r="D332" s="19"/>
      <c r="E332" s="19"/>
      <c r="F332" s="19"/>
      <c r="G332" s="19"/>
      <c r="H332" s="285"/>
      <c r="I332" s="19"/>
      <c r="J332" s="284"/>
    </row>
    <row r="333" spans="2:13">
      <c r="B333" s="560"/>
      <c r="C333" s="19"/>
      <c r="D333" s="19"/>
      <c r="E333" s="19"/>
      <c r="F333" s="19" t="s">
        <v>804</v>
      </c>
      <c r="G333" s="9"/>
      <c r="H333" s="285"/>
      <c r="I333" s="297"/>
      <c r="J333" s="284"/>
    </row>
    <row r="334" spans="2:13">
      <c r="B334" s="560"/>
      <c r="C334" s="19"/>
      <c r="D334" s="19"/>
      <c r="E334" s="19"/>
      <c r="F334" s="9"/>
      <c r="G334" s="19"/>
      <c r="H334" s="285"/>
      <c r="I334" s="19"/>
      <c r="J334" s="284"/>
    </row>
    <row r="335" spans="2:13">
      <c r="B335" s="560"/>
      <c r="C335" s="19"/>
      <c r="D335" s="19"/>
      <c r="E335" s="19"/>
      <c r="F335" s="289" t="s">
        <v>753</v>
      </c>
      <c r="G335" s="289"/>
      <c r="H335" s="289"/>
      <c r="I335" s="289" t="s">
        <v>870</v>
      </c>
      <c r="J335" s="290"/>
    </row>
    <row r="336" spans="2:13">
      <c r="B336" s="560"/>
      <c r="C336" s="19"/>
      <c r="D336" s="19"/>
      <c r="E336" s="19"/>
      <c r="F336" s="289" t="s">
        <v>757</v>
      </c>
      <c r="G336" s="289"/>
      <c r="H336" s="289"/>
      <c r="I336" s="289" t="s">
        <v>873</v>
      </c>
      <c r="J336" s="290"/>
    </row>
    <row r="337" spans="2:13">
      <c r="B337" s="560"/>
      <c r="C337" s="19"/>
      <c r="D337" s="19"/>
      <c r="E337" s="19"/>
      <c r="F337" s="289" t="s">
        <v>759</v>
      </c>
      <c r="G337" s="289"/>
      <c r="H337" s="289"/>
      <c r="I337" s="289" t="s">
        <v>832</v>
      </c>
      <c r="J337" s="290"/>
    </row>
    <row r="338" spans="2:13" ht="16" thickBot="1">
      <c r="B338" s="561"/>
      <c r="C338" s="291"/>
      <c r="D338" s="291"/>
      <c r="E338" s="291"/>
      <c r="F338" s="292"/>
      <c r="G338" s="292"/>
      <c r="H338" s="292"/>
      <c r="I338" s="292"/>
      <c r="J338" s="293"/>
    </row>
    <row r="339" spans="2:13" ht="16" thickBot="1"/>
    <row r="340" spans="2:13" ht="19" customHeight="1" thickBot="1">
      <c r="B340" s="554" t="s">
        <v>936</v>
      </c>
      <c r="C340" s="555"/>
      <c r="D340" s="555"/>
      <c r="E340" s="555"/>
      <c r="F340" s="555"/>
      <c r="G340" s="555"/>
      <c r="H340" s="555"/>
      <c r="I340" s="555"/>
      <c r="J340" s="556"/>
      <c r="L340" s="551" t="s">
        <v>852</v>
      </c>
      <c r="M340" s="551"/>
    </row>
    <row r="341" spans="2:13" ht="15" customHeight="1">
      <c r="B341" s="294" t="s">
        <v>770</v>
      </c>
      <c r="C341" s="295"/>
      <c r="D341" s="295"/>
      <c r="E341" s="295"/>
      <c r="F341" s="295"/>
      <c r="G341" s="295"/>
      <c r="H341" s="295"/>
      <c r="I341" s="295"/>
      <c r="J341" s="296"/>
      <c r="L341" s="551"/>
      <c r="M341" s="551"/>
    </row>
    <row r="342" spans="2:13" ht="15" customHeight="1">
      <c r="B342" s="557" t="s">
        <v>775</v>
      </c>
      <c r="C342" s="19"/>
      <c r="D342" s="19"/>
      <c r="E342" s="19"/>
      <c r="F342" s="558" t="s">
        <v>749</v>
      </c>
      <c r="G342" s="558"/>
      <c r="H342" s="273" t="s">
        <v>761</v>
      </c>
      <c r="I342" s="273"/>
      <c r="J342" s="307"/>
      <c r="L342" s="551"/>
      <c r="M342" s="551"/>
    </row>
    <row r="343" spans="2:13" ht="15" customHeight="1">
      <c r="B343" s="557"/>
      <c r="C343" s="19"/>
      <c r="D343" s="19"/>
      <c r="E343" s="19"/>
      <c r="F343" s="19"/>
      <c r="G343" s="273"/>
      <c r="H343" s="273"/>
      <c r="I343" s="273"/>
      <c r="J343" s="307"/>
    </row>
    <row r="344" spans="2:13" ht="15" customHeight="1">
      <c r="B344" s="557"/>
      <c r="C344" s="19"/>
      <c r="D344" s="19"/>
      <c r="E344" s="19"/>
      <c r="F344" s="19"/>
      <c r="G344" s="19"/>
      <c r="H344" s="19"/>
      <c r="I344" s="285"/>
      <c r="J344" s="284"/>
    </row>
    <row r="345" spans="2:13" ht="15" customHeight="1">
      <c r="B345" s="557"/>
      <c r="C345" s="19"/>
      <c r="D345" s="19"/>
      <c r="E345" s="19"/>
      <c r="F345" s="19" t="s">
        <v>750</v>
      </c>
      <c r="G345" s="19"/>
      <c r="H345" s="285"/>
      <c r="I345" s="559" t="s">
        <v>213</v>
      </c>
      <c r="J345" s="550"/>
    </row>
    <row r="346" spans="2:13" ht="15" customHeight="1">
      <c r="B346" s="557"/>
      <c r="C346" s="19"/>
      <c r="D346" s="19"/>
      <c r="E346" s="19"/>
      <c r="F346" s="9"/>
      <c r="G346" s="19"/>
      <c r="H346" s="285"/>
      <c r="I346" s="298"/>
      <c r="J346" s="305"/>
    </row>
    <row r="347" spans="2:13" ht="15" customHeight="1">
      <c r="B347" s="557"/>
      <c r="C347" s="19"/>
      <c r="D347" s="19"/>
      <c r="E347" s="19"/>
      <c r="F347" s="19" t="s">
        <v>751</v>
      </c>
      <c r="G347" s="9"/>
      <c r="H347" s="285"/>
      <c r="I347" s="559" t="s">
        <v>7</v>
      </c>
      <c r="J347" s="550"/>
    </row>
    <row r="348" spans="2:13" ht="15" customHeight="1">
      <c r="B348" s="557"/>
      <c r="C348" s="19"/>
      <c r="D348" s="19"/>
      <c r="E348" s="19"/>
      <c r="F348" s="19"/>
      <c r="G348" s="19"/>
      <c r="H348" s="285"/>
      <c r="I348" s="298"/>
      <c r="J348" s="305"/>
    </row>
    <row r="349" spans="2:13" ht="15" customHeight="1">
      <c r="B349" s="287" t="s">
        <v>772</v>
      </c>
      <c r="C349" s="19"/>
      <c r="D349" s="19"/>
      <c r="E349" s="19"/>
      <c r="F349" s="19" t="s">
        <v>752</v>
      </c>
      <c r="G349" s="19"/>
      <c r="H349" s="285"/>
      <c r="I349" s="550" t="s">
        <v>787</v>
      </c>
      <c r="J349" s="550"/>
    </row>
    <row r="350" spans="2:13" ht="15" customHeight="1">
      <c r="B350" s="560" t="s">
        <v>762</v>
      </c>
      <c r="C350" s="19"/>
      <c r="D350" s="19"/>
      <c r="E350" s="19"/>
      <c r="F350" s="19"/>
      <c r="G350" s="19"/>
      <c r="H350" s="285"/>
      <c r="I350" s="19"/>
      <c r="J350" s="284"/>
    </row>
    <row r="351" spans="2:13" ht="15" customHeight="1">
      <c r="B351" s="560"/>
      <c r="C351" s="19"/>
      <c r="D351" s="19"/>
      <c r="E351" s="19"/>
      <c r="F351" s="19" t="s">
        <v>778</v>
      </c>
      <c r="G351" s="9"/>
      <c r="H351" s="285"/>
      <c r="I351" s="297"/>
      <c r="J351" s="284"/>
    </row>
    <row r="352" spans="2:13" ht="15" customHeight="1">
      <c r="B352" s="560"/>
      <c r="C352" s="19"/>
      <c r="D352" s="19"/>
      <c r="E352" s="19"/>
      <c r="F352" s="9"/>
      <c r="G352" s="19"/>
      <c r="H352" s="285"/>
      <c r="I352" s="19"/>
      <c r="J352" s="284"/>
    </row>
    <row r="353" spans="2:13" ht="15" customHeight="1">
      <c r="B353" s="560"/>
      <c r="C353" s="19"/>
      <c r="D353" s="19"/>
      <c r="E353" s="19"/>
      <c r="F353" s="289" t="s">
        <v>753</v>
      </c>
      <c r="G353" s="289"/>
      <c r="H353" s="289"/>
      <c r="I353" s="289" t="s">
        <v>763</v>
      </c>
      <c r="J353" s="290"/>
    </row>
    <row r="354" spans="2:13" ht="15" customHeight="1">
      <c r="B354" s="560"/>
      <c r="C354" s="19"/>
      <c r="D354" s="19"/>
      <c r="E354" s="19"/>
      <c r="F354" s="289" t="s">
        <v>757</v>
      </c>
      <c r="G354" s="289"/>
      <c r="H354" s="289"/>
      <c r="I354" s="289" t="s">
        <v>764</v>
      </c>
      <c r="J354" s="290"/>
    </row>
    <row r="355" spans="2:13" ht="15" customHeight="1">
      <c r="B355" s="560"/>
      <c r="C355" s="19"/>
      <c r="D355" s="19"/>
      <c r="E355" s="19"/>
      <c r="F355" s="289" t="s">
        <v>759</v>
      </c>
      <c r="G355" s="289"/>
      <c r="H355" s="289"/>
      <c r="I355" s="289" t="s">
        <v>765</v>
      </c>
      <c r="J355" s="290"/>
    </row>
    <row r="356" spans="2:13" ht="16" customHeight="1" thickBot="1">
      <c r="B356" s="561"/>
      <c r="C356" s="291"/>
      <c r="D356" s="291"/>
      <c r="E356" s="291"/>
      <c r="F356" s="292"/>
      <c r="G356" s="292"/>
      <c r="H356" s="292"/>
      <c r="I356" s="292"/>
      <c r="J356" s="293"/>
    </row>
    <row r="357" spans="2:13" ht="16" thickBot="1"/>
    <row r="358" spans="2:13" ht="19" thickBot="1">
      <c r="B358" s="554" t="s">
        <v>838</v>
      </c>
      <c r="C358" s="555"/>
      <c r="D358" s="555"/>
      <c r="E358" s="555"/>
      <c r="F358" s="555"/>
      <c r="G358" s="555"/>
      <c r="H358" s="555"/>
      <c r="I358" s="555"/>
      <c r="J358" s="556"/>
      <c r="L358" s="551" t="s">
        <v>852</v>
      </c>
      <c r="M358" s="551"/>
    </row>
    <row r="359" spans="2:13">
      <c r="B359" s="294" t="s">
        <v>770</v>
      </c>
      <c r="C359" s="295"/>
      <c r="D359" s="295"/>
      <c r="E359" s="295"/>
      <c r="F359" s="295"/>
      <c r="G359" s="295"/>
      <c r="H359" s="295"/>
      <c r="I359" s="295"/>
      <c r="J359" s="296"/>
      <c r="L359" s="551"/>
      <c r="M359" s="551"/>
    </row>
    <row r="360" spans="2:13">
      <c r="B360" s="557" t="s">
        <v>839</v>
      </c>
      <c r="C360" s="19"/>
      <c r="D360" s="19"/>
      <c r="E360" s="19"/>
      <c r="F360" s="558" t="s">
        <v>749</v>
      </c>
      <c r="G360" s="558"/>
      <c r="H360" s="273" t="s">
        <v>433</v>
      </c>
      <c r="I360" s="273"/>
      <c r="J360" s="307"/>
      <c r="L360" s="551"/>
      <c r="M360" s="551"/>
    </row>
    <row r="361" spans="2:13">
      <c r="B361" s="557"/>
      <c r="C361" s="19"/>
      <c r="D361" s="19"/>
      <c r="E361" s="19"/>
      <c r="F361" s="19"/>
      <c r="G361" s="273"/>
      <c r="H361" s="273"/>
      <c r="I361" s="273"/>
      <c r="J361" s="307"/>
    </row>
    <row r="362" spans="2:13">
      <c r="B362" s="557"/>
      <c r="C362" s="19"/>
      <c r="D362" s="19"/>
      <c r="E362" s="19"/>
      <c r="F362" s="19"/>
      <c r="G362" s="19"/>
      <c r="H362" s="19"/>
      <c r="I362" s="285"/>
      <c r="J362" s="284"/>
    </row>
    <row r="363" spans="2:13">
      <c r="B363" s="557"/>
      <c r="C363" s="19"/>
      <c r="D363" s="19"/>
      <c r="E363" s="19"/>
      <c r="F363" s="19" t="s">
        <v>750</v>
      </c>
      <c r="G363" s="19"/>
      <c r="H363" s="285"/>
      <c r="I363" s="589" t="s">
        <v>7</v>
      </c>
      <c r="J363" s="550"/>
    </row>
    <row r="364" spans="2:13">
      <c r="B364" s="557"/>
      <c r="C364" s="19"/>
      <c r="D364" s="19"/>
      <c r="E364" s="19"/>
      <c r="F364" s="9"/>
      <c r="G364" s="19"/>
      <c r="H364" s="285"/>
      <c r="I364" s="382"/>
      <c r="J364" s="305"/>
    </row>
    <row r="365" spans="2:13">
      <c r="B365" s="557"/>
      <c r="C365" s="19"/>
      <c r="D365" s="19"/>
      <c r="E365" s="19"/>
      <c r="F365" s="19" t="s">
        <v>751</v>
      </c>
      <c r="G365" s="9"/>
      <c r="H365" s="285"/>
      <c r="I365" s="549" t="s">
        <v>212</v>
      </c>
      <c r="J365" s="550"/>
    </row>
    <row r="366" spans="2:13">
      <c r="B366" s="557"/>
      <c r="C366" s="19"/>
      <c r="D366" s="19"/>
      <c r="E366" s="19"/>
      <c r="F366" s="19"/>
      <c r="G366" s="19"/>
      <c r="H366" s="285"/>
      <c r="I366" s="382"/>
      <c r="J366" s="305"/>
    </row>
    <row r="367" spans="2:13">
      <c r="B367" s="287" t="s">
        <v>772</v>
      </c>
      <c r="C367" s="19"/>
      <c r="D367" s="19"/>
      <c r="E367" s="19"/>
      <c r="F367" s="19" t="s">
        <v>752</v>
      </c>
      <c r="G367" s="19"/>
      <c r="H367" s="285"/>
      <c r="I367" s="550" t="s">
        <v>900</v>
      </c>
      <c r="J367" s="550"/>
    </row>
    <row r="368" spans="2:13">
      <c r="B368" s="560" t="s">
        <v>840</v>
      </c>
      <c r="C368" s="19"/>
      <c r="D368" s="19"/>
      <c r="E368" s="19"/>
      <c r="F368" s="19"/>
      <c r="G368" s="19"/>
      <c r="H368" s="285"/>
      <c r="I368" s="19"/>
      <c r="J368" s="284"/>
    </row>
    <row r="369" spans="2:13">
      <c r="B369" s="560"/>
      <c r="C369" s="19"/>
      <c r="D369" s="19"/>
      <c r="E369" s="19"/>
      <c r="F369" s="19" t="s">
        <v>859</v>
      </c>
      <c r="G369" s="9"/>
      <c r="H369" s="285"/>
      <c r="I369" s="297"/>
      <c r="J369" s="284"/>
    </row>
    <row r="370" spans="2:13">
      <c r="B370" s="560"/>
      <c r="C370" s="19"/>
      <c r="D370" s="19"/>
      <c r="E370" s="19"/>
      <c r="F370" s="9"/>
      <c r="G370" s="19"/>
      <c r="H370" s="285"/>
      <c r="I370" s="19"/>
      <c r="J370" s="284"/>
    </row>
    <row r="371" spans="2:13">
      <c r="B371" s="560"/>
      <c r="C371" s="19"/>
      <c r="D371" s="19"/>
      <c r="E371" s="19"/>
      <c r="F371" s="289" t="s">
        <v>753</v>
      </c>
      <c r="G371" s="289"/>
      <c r="H371" s="289"/>
      <c r="I371" s="289" t="s">
        <v>899</v>
      </c>
      <c r="J371" s="290"/>
    </row>
    <row r="372" spans="2:13">
      <c r="B372" s="560"/>
      <c r="C372" s="19"/>
      <c r="D372" s="19"/>
      <c r="E372" s="19"/>
      <c r="F372" s="289" t="s">
        <v>757</v>
      </c>
      <c r="G372" s="289"/>
      <c r="H372" s="289"/>
      <c r="I372" s="289" t="s">
        <v>901</v>
      </c>
      <c r="J372" s="290"/>
    </row>
    <row r="373" spans="2:13">
      <c r="B373" s="560"/>
      <c r="C373" s="19"/>
      <c r="D373" s="19"/>
      <c r="E373" s="19"/>
      <c r="F373" s="289" t="s">
        <v>759</v>
      </c>
      <c r="G373" s="289"/>
      <c r="H373" s="289"/>
      <c r="I373" s="289" t="s">
        <v>902</v>
      </c>
      <c r="J373" s="290"/>
    </row>
    <row r="374" spans="2:13" ht="16" thickBot="1">
      <c r="B374" s="561"/>
      <c r="C374" s="291"/>
      <c r="D374" s="291"/>
      <c r="E374" s="291"/>
      <c r="F374" s="292"/>
      <c r="G374" s="292"/>
      <c r="H374" s="292"/>
      <c r="I374" s="292"/>
      <c r="J374" s="293"/>
    </row>
    <row r="375" spans="2:13" ht="16" thickBot="1"/>
    <row r="376" spans="2:13" ht="19" thickBot="1">
      <c r="B376" s="590" t="s">
        <v>3</v>
      </c>
      <c r="C376" s="591"/>
      <c r="D376" s="591"/>
      <c r="E376" s="591"/>
      <c r="F376" s="591"/>
      <c r="G376" s="591"/>
      <c r="H376" s="591"/>
      <c r="I376" s="591"/>
      <c r="J376" s="592"/>
      <c r="L376" s="551" t="s">
        <v>852</v>
      </c>
      <c r="M376" s="551"/>
    </row>
    <row r="377" spans="2:13">
      <c r="B377" s="294" t="s">
        <v>770</v>
      </c>
      <c r="C377" s="295"/>
      <c r="D377" s="295"/>
      <c r="E377" s="295"/>
      <c r="F377" s="295"/>
      <c r="G377" s="295"/>
      <c r="H377" s="295"/>
      <c r="I377" s="295"/>
      <c r="J377" s="296"/>
      <c r="L377" s="551"/>
      <c r="M377" s="551"/>
    </row>
    <row r="378" spans="2:13">
      <c r="B378" s="557" t="s">
        <v>884</v>
      </c>
      <c r="C378" s="19"/>
      <c r="D378" s="19"/>
      <c r="E378" s="19"/>
      <c r="F378" s="558" t="s">
        <v>749</v>
      </c>
      <c r="G378" s="558"/>
      <c r="H378" s="273" t="s">
        <v>433</v>
      </c>
      <c r="I378" s="273"/>
      <c r="J378" s="307"/>
      <c r="L378" s="551"/>
      <c r="M378" s="551"/>
    </row>
    <row r="379" spans="2:13">
      <c r="B379" s="557"/>
      <c r="C379" s="19"/>
      <c r="D379" s="19"/>
      <c r="E379" s="19"/>
      <c r="F379" s="19"/>
      <c r="G379" s="273"/>
      <c r="H379" s="273"/>
      <c r="I379" s="273"/>
      <c r="J379" s="307"/>
    </row>
    <row r="380" spans="2:13">
      <c r="B380" s="557"/>
      <c r="C380" s="19"/>
      <c r="D380" s="19"/>
      <c r="E380" s="19"/>
      <c r="F380" s="19"/>
      <c r="G380" s="19"/>
      <c r="H380" s="19"/>
      <c r="I380" s="285"/>
      <c r="J380" s="284"/>
    </row>
    <row r="381" spans="2:13">
      <c r="B381" s="557"/>
      <c r="C381" s="19"/>
      <c r="D381" s="19"/>
      <c r="E381" s="19"/>
      <c r="F381" s="19" t="s">
        <v>750</v>
      </c>
      <c r="G381" s="19"/>
      <c r="H381" s="285"/>
      <c r="I381" s="589" t="s">
        <v>7</v>
      </c>
      <c r="J381" s="550"/>
    </row>
    <row r="382" spans="2:13">
      <c r="B382" s="557"/>
      <c r="C382" s="19"/>
      <c r="D382" s="19"/>
      <c r="E382" s="19"/>
      <c r="F382" s="9"/>
      <c r="G382" s="19"/>
      <c r="H382" s="285"/>
      <c r="I382" s="382"/>
      <c r="J382" s="305"/>
    </row>
    <row r="383" spans="2:13">
      <c r="B383" s="557"/>
      <c r="C383" s="19"/>
      <c r="D383" s="19"/>
      <c r="E383" s="19"/>
      <c r="F383" s="19" t="s">
        <v>751</v>
      </c>
      <c r="G383" s="9"/>
      <c r="H383" s="285"/>
      <c r="I383" s="549" t="s">
        <v>886</v>
      </c>
      <c r="J383" s="550"/>
    </row>
    <row r="384" spans="2:13">
      <c r="B384" s="557"/>
      <c r="C384" s="19"/>
      <c r="D384" s="19"/>
      <c r="E384" s="19"/>
      <c r="F384" s="19"/>
      <c r="G384" s="19"/>
      <c r="H384" s="285"/>
      <c r="I384" s="382"/>
      <c r="J384" s="305"/>
    </row>
    <row r="385" spans="2:13">
      <c r="B385" s="287" t="s">
        <v>772</v>
      </c>
      <c r="C385" s="19"/>
      <c r="D385" s="19"/>
      <c r="E385" s="19"/>
      <c r="F385" s="19" t="s">
        <v>752</v>
      </c>
      <c r="G385" s="19"/>
      <c r="H385" s="285"/>
      <c r="I385" s="550" t="s">
        <v>872</v>
      </c>
      <c r="J385" s="550"/>
    </row>
    <row r="386" spans="2:13">
      <c r="B386" s="560" t="s">
        <v>885</v>
      </c>
      <c r="C386" s="19"/>
      <c r="D386" s="19"/>
      <c r="E386" s="19"/>
      <c r="F386" s="19"/>
      <c r="G386" s="19"/>
      <c r="H386" s="285"/>
      <c r="I386" s="19"/>
      <c r="J386" s="284"/>
    </row>
    <row r="387" spans="2:13">
      <c r="B387" s="560"/>
      <c r="C387" s="19"/>
      <c r="D387" s="19"/>
      <c r="E387" s="19"/>
      <c r="F387" s="19" t="s">
        <v>816</v>
      </c>
      <c r="G387" s="9"/>
      <c r="H387" s="285"/>
      <c r="I387" s="297"/>
      <c r="J387" s="284"/>
    </row>
    <row r="388" spans="2:13">
      <c r="B388" s="560"/>
      <c r="C388" s="19"/>
      <c r="D388" s="19"/>
      <c r="E388" s="19"/>
      <c r="F388" s="9"/>
      <c r="G388" s="19"/>
      <c r="H388" s="285"/>
      <c r="I388" s="19"/>
      <c r="J388" s="284"/>
    </row>
    <row r="389" spans="2:13">
      <c r="B389" s="560"/>
      <c r="C389" s="19"/>
      <c r="D389" s="19"/>
      <c r="E389" s="19"/>
      <c r="F389" s="289" t="s">
        <v>753</v>
      </c>
      <c r="G389" s="289"/>
      <c r="H389" s="289"/>
      <c r="I389" s="289" t="s">
        <v>888</v>
      </c>
      <c r="J389" s="290"/>
    </row>
    <row r="390" spans="2:13">
      <c r="B390" s="560"/>
      <c r="C390" s="19"/>
      <c r="D390" s="19"/>
      <c r="E390" s="19"/>
      <c r="F390" s="289" t="s">
        <v>757</v>
      </c>
      <c r="G390" s="289"/>
      <c r="H390" s="289"/>
      <c r="I390" s="289" t="s">
        <v>863</v>
      </c>
      <c r="J390" s="290"/>
    </row>
    <row r="391" spans="2:13">
      <c r="B391" s="560"/>
      <c r="C391" s="19"/>
      <c r="D391" s="19"/>
      <c r="E391" s="19"/>
      <c r="F391" s="289" t="s">
        <v>759</v>
      </c>
      <c r="G391" s="289"/>
      <c r="H391" s="289"/>
      <c r="I391" s="289" t="s">
        <v>889</v>
      </c>
      <c r="J391" s="290"/>
    </row>
    <row r="392" spans="2:13" ht="16" thickBot="1">
      <c r="B392" s="561"/>
      <c r="C392" s="291"/>
      <c r="D392" s="291"/>
      <c r="E392" s="291"/>
      <c r="F392" s="292"/>
      <c r="G392" s="292"/>
      <c r="H392" s="292"/>
      <c r="I392" s="292"/>
      <c r="J392" s="293"/>
    </row>
    <row r="393" spans="2:13" ht="16" thickBot="1"/>
    <row r="394" spans="2:13" ht="19" thickBot="1">
      <c r="B394" s="554" t="s">
        <v>41</v>
      </c>
      <c r="C394" s="555"/>
      <c r="D394" s="555"/>
      <c r="E394" s="555"/>
      <c r="F394" s="555"/>
      <c r="G394" s="555"/>
      <c r="H394" s="555"/>
      <c r="I394" s="555"/>
      <c r="J394" s="556"/>
      <c r="L394" s="551" t="s">
        <v>852</v>
      </c>
      <c r="M394" s="551"/>
    </row>
    <row r="395" spans="2:13">
      <c r="B395" s="294" t="s">
        <v>770</v>
      </c>
      <c r="C395" s="295"/>
      <c r="D395" s="295"/>
      <c r="E395" s="295"/>
      <c r="F395" s="295"/>
      <c r="G395" s="295"/>
      <c r="H395" s="295"/>
      <c r="I395" s="295"/>
      <c r="J395" s="296"/>
      <c r="L395" s="551"/>
      <c r="M395" s="551"/>
    </row>
    <row r="396" spans="2:13">
      <c r="B396" s="557" t="s">
        <v>890</v>
      </c>
      <c r="C396" s="19"/>
      <c r="D396" s="19"/>
      <c r="E396" s="19"/>
      <c r="F396" s="558" t="s">
        <v>749</v>
      </c>
      <c r="G396" s="558"/>
      <c r="H396" s="273" t="s">
        <v>916</v>
      </c>
      <c r="I396" s="273"/>
      <c r="J396" s="307"/>
      <c r="L396" s="551"/>
      <c r="M396" s="551"/>
    </row>
    <row r="397" spans="2:13">
      <c r="B397" s="557"/>
      <c r="C397" s="19"/>
      <c r="D397" s="19"/>
      <c r="E397" s="19"/>
      <c r="F397" s="19"/>
      <c r="G397" s="273"/>
      <c r="H397" s="273"/>
      <c r="I397" s="273"/>
      <c r="J397" s="307"/>
    </row>
    <row r="398" spans="2:13">
      <c r="B398" s="557"/>
      <c r="C398" s="19"/>
      <c r="D398" s="19"/>
      <c r="E398" s="19"/>
      <c r="F398" s="19"/>
      <c r="G398" s="19"/>
      <c r="H398" s="19"/>
      <c r="I398" s="285"/>
      <c r="J398" s="284"/>
    </row>
    <row r="399" spans="2:13">
      <c r="B399" s="557"/>
      <c r="C399" s="19"/>
      <c r="D399" s="19"/>
      <c r="E399" s="19"/>
      <c r="F399" s="19" t="s">
        <v>750</v>
      </c>
      <c r="G399" s="19"/>
      <c r="H399" s="285"/>
      <c r="I399" s="549" t="s">
        <v>212</v>
      </c>
      <c r="J399" s="550"/>
    </row>
    <row r="400" spans="2:13">
      <c r="B400" s="557"/>
      <c r="C400" s="19"/>
      <c r="D400" s="19"/>
      <c r="E400" s="19"/>
      <c r="F400" s="9"/>
      <c r="G400" s="19"/>
      <c r="H400" s="285"/>
      <c r="I400" s="382"/>
      <c r="J400" s="305"/>
    </row>
    <row r="401" spans="2:13" ht="18">
      <c r="B401" s="557"/>
      <c r="C401" s="19"/>
      <c r="D401" s="19"/>
      <c r="E401" s="19"/>
      <c r="F401" s="19" t="s">
        <v>751</v>
      </c>
      <c r="G401" s="9"/>
      <c r="H401" s="285"/>
      <c r="I401" s="612" t="s">
        <v>213</v>
      </c>
      <c r="J401" s="613"/>
    </row>
    <row r="402" spans="2:13">
      <c r="B402" s="557"/>
      <c r="C402" s="19"/>
      <c r="D402" s="19"/>
      <c r="E402" s="19"/>
      <c r="F402" s="19"/>
      <c r="G402" s="19"/>
      <c r="H402" s="285"/>
      <c r="I402" s="382"/>
      <c r="J402" s="305"/>
    </row>
    <row r="403" spans="2:13">
      <c r="B403" s="287" t="s">
        <v>772</v>
      </c>
      <c r="C403" s="19"/>
      <c r="D403" s="19"/>
      <c r="E403" s="19"/>
      <c r="F403" s="19" t="s">
        <v>752</v>
      </c>
      <c r="G403" s="19"/>
      <c r="H403" s="285"/>
      <c r="I403" s="550" t="s">
        <v>892</v>
      </c>
      <c r="J403" s="550"/>
    </row>
    <row r="404" spans="2:13">
      <c r="B404" s="560" t="s">
        <v>891</v>
      </c>
      <c r="C404" s="19"/>
      <c r="D404" s="19"/>
      <c r="E404" s="19"/>
      <c r="F404" s="19"/>
      <c r="G404" s="19"/>
      <c r="H404" s="285"/>
      <c r="I404" s="19"/>
      <c r="J404" s="284"/>
    </row>
    <row r="405" spans="2:13">
      <c r="B405" s="560"/>
      <c r="C405" s="19"/>
      <c r="D405" s="19"/>
      <c r="E405" s="19"/>
      <c r="F405" s="19" t="s">
        <v>804</v>
      </c>
      <c r="G405" s="9"/>
      <c r="H405" s="285"/>
      <c r="I405" s="297"/>
      <c r="J405" s="284"/>
    </row>
    <row r="406" spans="2:13">
      <c r="B406" s="560"/>
      <c r="C406" s="19"/>
      <c r="D406" s="19"/>
      <c r="E406" s="19"/>
      <c r="F406" s="9"/>
      <c r="G406" s="19"/>
      <c r="H406" s="285"/>
      <c r="I406" s="19"/>
      <c r="J406" s="284"/>
    </row>
    <row r="407" spans="2:13">
      <c r="B407" s="560"/>
      <c r="C407" s="19"/>
      <c r="D407" s="19"/>
      <c r="E407" s="19"/>
      <c r="F407" s="289" t="s">
        <v>753</v>
      </c>
      <c r="G407" s="289"/>
      <c r="H407" s="289"/>
      <c r="I407" s="289" t="s">
        <v>893</v>
      </c>
      <c r="J407" s="290"/>
    </row>
    <row r="408" spans="2:13">
      <c r="B408" s="560"/>
      <c r="C408" s="19"/>
      <c r="D408" s="19"/>
      <c r="E408" s="19"/>
      <c r="F408" s="289" t="s">
        <v>757</v>
      </c>
      <c r="G408" s="289"/>
      <c r="H408" s="289"/>
      <c r="I408" s="289" t="s">
        <v>894</v>
      </c>
      <c r="J408" s="290"/>
    </row>
    <row r="409" spans="2:13">
      <c r="B409" s="560"/>
      <c r="C409" s="19"/>
      <c r="D409" s="19"/>
      <c r="E409" s="19"/>
      <c r="F409" s="289" t="s">
        <v>759</v>
      </c>
      <c r="G409" s="289"/>
      <c r="H409" s="289"/>
      <c r="I409" s="289" t="s">
        <v>848</v>
      </c>
      <c r="J409" s="290"/>
    </row>
    <row r="410" spans="2:13" ht="16" thickBot="1">
      <c r="B410" s="561"/>
      <c r="C410" s="291"/>
      <c r="D410" s="291"/>
      <c r="E410" s="291"/>
      <c r="F410" s="292"/>
      <c r="G410" s="292"/>
      <c r="H410" s="292"/>
      <c r="I410" s="292"/>
      <c r="J410" s="293"/>
    </row>
    <row r="411" spans="2:13" ht="16" thickBot="1"/>
    <row r="412" spans="2:13" ht="19" thickBot="1">
      <c r="B412" s="554" t="s">
        <v>933</v>
      </c>
      <c r="C412" s="555"/>
      <c r="D412" s="555"/>
      <c r="E412" s="555"/>
      <c r="F412" s="555"/>
      <c r="G412" s="555"/>
      <c r="H412" s="555"/>
      <c r="I412" s="555"/>
      <c r="J412" s="556"/>
      <c r="L412" s="551" t="s">
        <v>852</v>
      </c>
      <c r="M412" s="551"/>
    </row>
    <row r="413" spans="2:13">
      <c r="B413" s="294" t="s">
        <v>770</v>
      </c>
      <c r="C413" s="295"/>
      <c r="D413" s="295"/>
      <c r="E413" s="295"/>
      <c r="F413" s="295"/>
      <c r="G413" s="295"/>
      <c r="H413" s="295"/>
      <c r="I413" s="295"/>
      <c r="J413" s="296"/>
      <c r="L413" s="551"/>
      <c r="M413" s="551"/>
    </row>
    <row r="414" spans="2:13">
      <c r="B414" s="557" t="s">
        <v>896</v>
      </c>
      <c r="C414" s="19"/>
      <c r="D414" s="19"/>
      <c r="E414" s="19"/>
      <c r="F414" s="558" t="s">
        <v>749</v>
      </c>
      <c r="G414" s="558"/>
      <c r="H414" s="273" t="s">
        <v>916</v>
      </c>
      <c r="I414" s="273"/>
      <c r="J414" s="307"/>
      <c r="L414" s="551"/>
      <c r="M414" s="551"/>
    </row>
    <row r="415" spans="2:13">
      <c r="B415" s="557"/>
      <c r="C415" s="19"/>
      <c r="D415" s="19"/>
      <c r="E415" s="19"/>
      <c r="F415" s="19"/>
      <c r="G415" s="273"/>
      <c r="H415" s="273"/>
      <c r="I415" s="273"/>
      <c r="J415" s="307"/>
    </row>
    <row r="416" spans="2:13">
      <c r="B416" s="557"/>
      <c r="C416" s="19"/>
      <c r="D416" s="19"/>
      <c r="E416" s="19"/>
      <c r="F416" s="19"/>
      <c r="G416" s="19"/>
      <c r="H416" s="19"/>
      <c r="I416" s="285"/>
      <c r="J416" s="284"/>
    </row>
    <row r="417" spans="2:10">
      <c r="B417" s="557"/>
      <c r="C417" s="19"/>
      <c r="D417" s="19"/>
      <c r="E417" s="19"/>
      <c r="F417" s="19" t="s">
        <v>750</v>
      </c>
      <c r="G417" s="19"/>
      <c r="H417" s="285"/>
      <c r="I417" s="549" t="s">
        <v>212</v>
      </c>
      <c r="J417" s="550"/>
    </row>
    <row r="418" spans="2:10">
      <c r="B418" s="557"/>
      <c r="C418" s="19"/>
      <c r="D418" s="19"/>
      <c r="E418" s="19"/>
      <c r="F418" s="9"/>
      <c r="G418" s="19"/>
      <c r="H418" s="285"/>
      <c r="I418" s="382"/>
      <c r="J418" s="305"/>
    </row>
    <row r="419" spans="2:10">
      <c r="B419" s="557"/>
      <c r="C419" s="19"/>
      <c r="D419" s="19"/>
      <c r="E419" s="19"/>
      <c r="F419" s="19" t="s">
        <v>751</v>
      </c>
      <c r="G419" s="9"/>
      <c r="H419" s="285"/>
      <c r="I419" s="589" t="s">
        <v>213</v>
      </c>
      <c r="J419" s="550"/>
    </row>
    <row r="420" spans="2:10">
      <c r="B420" s="557"/>
      <c r="C420" s="19"/>
      <c r="D420" s="19"/>
      <c r="E420" s="19"/>
      <c r="F420" s="19"/>
      <c r="G420" s="19"/>
      <c r="H420" s="285"/>
      <c r="I420" s="382"/>
      <c r="J420" s="305"/>
    </row>
    <row r="421" spans="2:10">
      <c r="B421" s="287" t="s">
        <v>772</v>
      </c>
      <c r="C421" s="19"/>
      <c r="D421" s="19"/>
      <c r="E421" s="19"/>
      <c r="F421" s="19" t="s">
        <v>752</v>
      </c>
      <c r="G421" s="19"/>
      <c r="H421" s="285"/>
      <c r="I421" s="550" t="s">
        <v>820</v>
      </c>
      <c r="J421" s="550"/>
    </row>
    <row r="422" spans="2:10">
      <c r="B422" s="560" t="s">
        <v>837</v>
      </c>
      <c r="C422" s="19"/>
      <c r="D422" s="19"/>
      <c r="E422" s="19"/>
      <c r="F422" s="19"/>
      <c r="G422" s="19"/>
      <c r="H422" s="285"/>
      <c r="I422" s="19"/>
      <c r="J422" s="284"/>
    </row>
    <row r="423" spans="2:10">
      <c r="B423" s="560"/>
      <c r="C423" s="19"/>
      <c r="D423" s="19"/>
      <c r="E423" s="19"/>
      <c r="F423" s="19" t="s">
        <v>897</v>
      </c>
      <c r="G423" s="9"/>
      <c r="H423" s="285"/>
      <c r="I423" s="297"/>
      <c r="J423" s="284"/>
    </row>
    <row r="424" spans="2:10">
      <c r="B424" s="560"/>
      <c r="C424" s="19"/>
      <c r="D424" s="19"/>
      <c r="E424" s="19"/>
      <c r="F424" s="9"/>
      <c r="G424" s="19"/>
      <c r="H424" s="285"/>
      <c r="I424" s="19"/>
      <c r="J424" s="284"/>
    </row>
    <row r="425" spans="2:10">
      <c r="B425" s="560"/>
      <c r="C425" s="19"/>
      <c r="D425" s="19"/>
      <c r="E425" s="19"/>
      <c r="F425" s="289" t="s">
        <v>753</v>
      </c>
      <c r="G425" s="289"/>
      <c r="H425" s="289"/>
      <c r="I425" s="289" t="s">
        <v>895</v>
      </c>
      <c r="J425" s="290"/>
    </row>
    <row r="426" spans="2:10">
      <c r="B426" s="560"/>
      <c r="C426" s="19"/>
      <c r="D426" s="19"/>
      <c r="E426" s="19"/>
      <c r="F426" s="289" t="s">
        <v>757</v>
      </c>
      <c r="G426" s="289"/>
      <c r="H426" s="289"/>
      <c r="I426" s="289" t="s">
        <v>849</v>
      </c>
      <c r="J426" s="290"/>
    </row>
    <row r="427" spans="2:10">
      <c r="B427" s="560"/>
      <c r="C427" s="19"/>
      <c r="D427" s="19"/>
      <c r="E427" s="19"/>
      <c r="F427" s="289" t="s">
        <v>759</v>
      </c>
      <c r="G427" s="289"/>
      <c r="H427" s="289"/>
      <c r="I427" s="289" t="s">
        <v>898</v>
      </c>
      <c r="J427" s="290"/>
    </row>
    <row r="428" spans="2:10" ht="16" thickBot="1">
      <c r="B428" s="561"/>
      <c r="C428" s="291"/>
      <c r="D428" s="291"/>
      <c r="E428" s="291"/>
      <c r="F428" s="292"/>
      <c r="G428" s="292"/>
      <c r="H428" s="292"/>
      <c r="I428" s="292"/>
      <c r="J428" s="293"/>
    </row>
  </sheetData>
  <sheetProtection selectLockedCells="1"/>
  <sortState columnSort="1" ref="C41:V66">
    <sortCondition ref="C41:V41"/>
  </sortState>
  <mergeCells count="184">
    <mergeCell ref="I367:J367"/>
    <mergeCell ref="B368:B374"/>
    <mergeCell ref="B214:J214"/>
    <mergeCell ref="B216:B222"/>
    <mergeCell ref="F216:G216"/>
    <mergeCell ref="I219:J219"/>
    <mergeCell ref="I221:J221"/>
    <mergeCell ref="B422:B428"/>
    <mergeCell ref="B358:J358"/>
    <mergeCell ref="B360:B366"/>
    <mergeCell ref="F360:G360"/>
    <mergeCell ref="I363:J363"/>
    <mergeCell ref="I365:J365"/>
    <mergeCell ref="I403:J403"/>
    <mergeCell ref="B404:B410"/>
    <mergeCell ref="B412:J412"/>
    <mergeCell ref="B414:B420"/>
    <mergeCell ref="F414:G414"/>
    <mergeCell ref="I417:J417"/>
    <mergeCell ref="I419:J419"/>
    <mergeCell ref="I385:J385"/>
    <mergeCell ref="B386:B392"/>
    <mergeCell ref="B394:J394"/>
    <mergeCell ref="B396:B402"/>
    <mergeCell ref="F396:G396"/>
    <mergeCell ref="I399:J399"/>
    <mergeCell ref="I401:J401"/>
    <mergeCell ref="B376:J376"/>
    <mergeCell ref="B378:B384"/>
    <mergeCell ref="F378:G378"/>
    <mergeCell ref="I381:J381"/>
    <mergeCell ref="B250:J250"/>
    <mergeCell ref="B252:B258"/>
    <mergeCell ref="F252:G252"/>
    <mergeCell ref="I255:J255"/>
    <mergeCell ref="I257:J257"/>
    <mergeCell ref="B322:J322"/>
    <mergeCell ref="B324:B330"/>
    <mergeCell ref="F324:G324"/>
    <mergeCell ref="I327:J327"/>
    <mergeCell ref="I329:J329"/>
    <mergeCell ref="I277:J277"/>
    <mergeCell ref="B278:B284"/>
    <mergeCell ref="B268:J268"/>
    <mergeCell ref="B270:B276"/>
    <mergeCell ref="F270:G270"/>
    <mergeCell ref="I273:J273"/>
    <mergeCell ref="I275:J275"/>
    <mergeCell ref="B106:J106"/>
    <mergeCell ref="B108:B114"/>
    <mergeCell ref="F108:G108"/>
    <mergeCell ref="I97:J97"/>
    <mergeCell ref="B98:B104"/>
    <mergeCell ref="I259:J259"/>
    <mergeCell ref="B260:B266"/>
    <mergeCell ref="I79:J79"/>
    <mergeCell ref="B80:B86"/>
    <mergeCell ref="B88:J88"/>
    <mergeCell ref="B90:B96"/>
    <mergeCell ref="F90:G90"/>
    <mergeCell ref="I93:J93"/>
    <mergeCell ref="I95:J95"/>
    <mergeCell ref="I241:J241"/>
    <mergeCell ref="B242:B248"/>
    <mergeCell ref="I111:J111"/>
    <mergeCell ref="I113:J113"/>
    <mergeCell ref="B160:J160"/>
    <mergeCell ref="B162:B168"/>
    <mergeCell ref="F162:G162"/>
    <mergeCell ref="I165:J165"/>
    <mergeCell ref="I167:J167"/>
    <mergeCell ref="I133:J133"/>
    <mergeCell ref="F234:G234"/>
    <mergeCell ref="I237:J237"/>
    <mergeCell ref="I239:J239"/>
    <mergeCell ref="I115:J115"/>
    <mergeCell ref="B116:B122"/>
    <mergeCell ref="B178:J178"/>
    <mergeCell ref="B180:B186"/>
    <mergeCell ref="F180:G180"/>
    <mergeCell ref="I183:J183"/>
    <mergeCell ref="I185:J185"/>
    <mergeCell ref="I169:J169"/>
    <mergeCell ref="B170:B176"/>
    <mergeCell ref="B134:B140"/>
    <mergeCell ref="B124:J124"/>
    <mergeCell ref="B126:B132"/>
    <mergeCell ref="B196:J196"/>
    <mergeCell ref="B198:B204"/>
    <mergeCell ref="F198:G198"/>
    <mergeCell ref="I201:J201"/>
    <mergeCell ref="I203:J203"/>
    <mergeCell ref="I223:J223"/>
    <mergeCell ref="B224:B230"/>
    <mergeCell ref="B350:B356"/>
    <mergeCell ref="B286:J286"/>
    <mergeCell ref="B288:B294"/>
    <mergeCell ref="F288:G288"/>
    <mergeCell ref="B296:B302"/>
    <mergeCell ref="I291:J291"/>
    <mergeCell ref="I293:J293"/>
    <mergeCell ref="I295:J295"/>
    <mergeCell ref="I345:J345"/>
    <mergeCell ref="I347:J347"/>
    <mergeCell ref="I349:J349"/>
    <mergeCell ref="B340:J340"/>
    <mergeCell ref="B342:B348"/>
    <mergeCell ref="F342:G342"/>
    <mergeCell ref="I313:J313"/>
    <mergeCell ref="B314:B320"/>
    <mergeCell ref="I331:J331"/>
    <mergeCell ref="B332:B338"/>
    <mergeCell ref="Z3:AB3"/>
    <mergeCell ref="I151:J151"/>
    <mergeCell ref="H155:J155"/>
    <mergeCell ref="H156:J156"/>
    <mergeCell ref="H157:J157"/>
    <mergeCell ref="I149:J149"/>
    <mergeCell ref="H158:J158"/>
    <mergeCell ref="B36:M36"/>
    <mergeCell ref="B37:M37"/>
    <mergeCell ref="B38:M38"/>
    <mergeCell ref="B142:J142"/>
    <mergeCell ref="H144:J145"/>
    <mergeCell ref="B144:B150"/>
    <mergeCell ref="F144:G144"/>
    <mergeCell ref="I147:J147"/>
    <mergeCell ref="B152:B158"/>
    <mergeCell ref="L142:M144"/>
    <mergeCell ref="L88:M90"/>
    <mergeCell ref="L124:M126"/>
    <mergeCell ref="F126:G126"/>
    <mergeCell ref="I129:J129"/>
    <mergeCell ref="I131:J131"/>
    <mergeCell ref="B70:J70"/>
    <mergeCell ref="B72:B78"/>
    <mergeCell ref="L340:M342"/>
    <mergeCell ref="L268:M270"/>
    <mergeCell ref="A65:A66"/>
    <mergeCell ref="A27:A30"/>
    <mergeCell ref="A1:M1"/>
    <mergeCell ref="A50:A51"/>
    <mergeCell ref="A52:A56"/>
    <mergeCell ref="A57:A58"/>
    <mergeCell ref="A59:A64"/>
    <mergeCell ref="A4:A11"/>
    <mergeCell ref="A12:A13"/>
    <mergeCell ref="A14:A18"/>
    <mergeCell ref="B39:M39"/>
    <mergeCell ref="A42:A49"/>
    <mergeCell ref="A19:A20"/>
    <mergeCell ref="A21:A26"/>
    <mergeCell ref="A32:M35"/>
    <mergeCell ref="F72:G72"/>
    <mergeCell ref="I75:J75"/>
    <mergeCell ref="I77:J77"/>
    <mergeCell ref="I187:J187"/>
    <mergeCell ref="B188:B194"/>
    <mergeCell ref="B232:J232"/>
    <mergeCell ref="B234:B240"/>
    <mergeCell ref="I383:J383"/>
    <mergeCell ref="I421:J421"/>
    <mergeCell ref="L160:M162"/>
    <mergeCell ref="L106:M108"/>
    <mergeCell ref="L178:M180"/>
    <mergeCell ref="L232:M234"/>
    <mergeCell ref="L70:M72"/>
    <mergeCell ref="L214:M216"/>
    <mergeCell ref="I205:J205"/>
    <mergeCell ref="B304:J304"/>
    <mergeCell ref="B306:B312"/>
    <mergeCell ref="F306:G306"/>
    <mergeCell ref="I309:J309"/>
    <mergeCell ref="I311:J311"/>
    <mergeCell ref="L304:M306"/>
    <mergeCell ref="B206:B212"/>
    <mergeCell ref="L322:M324"/>
    <mergeCell ref="L250:M252"/>
    <mergeCell ref="L196:M198"/>
    <mergeCell ref="L376:M378"/>
    <mergeCell ref="L394:M396"/>
    <mergeCell ref="L412:M414"/>
    <mergeCell ref="L358:M360"/>
    <mergeCell ref="L286:M288"/>
  </mergeCells>
  <hyperlinks>
    <hyperlink ref="G3" location="Fiche_Feverole_de_printemps" display="Feverole de printemps type Espresso"/>
    <hyperlink ref="O3" location="Fiche_Pois_fourrager_de_printemps" display="Pois fourrager de printemps"/>
    <hyperlink ref="S3" location="Fiche_Trefle_d_alexandrie_type_TABOR" display="Trefle Alexandrie Type TABOR"/>
    <hyperlink ref="F3" location="Fiche_Fenugrec" display="Fenugrec"/>
    <hyperlink ref="N3" location="Fiche_Phacelie" display="Phacelie"/>
    <hyperlink ref="H3" location="Fiche_Gesse" display="Gesse"/>
    <hyperlink ref="E3" location="Fiche_Cameline" display="Cameline"/>
    <hyperlink ref="I3" location="Fiche_Lentille_fourragère" display="Lentille fourragere"/>
    <hyperlink ref="L142:M144" location="tableau_des_especes" display="Retour en haut de page "/>
    <hyperlink ref="L286:M288" location="tableau_des_especes" display="Retour en haut de page "/>
    <hyperlink ref="L340:M342" location="tableau_des_especes" display="Retour en haut de page "/>
    <hyperlink ref="L124:M126" location="tableau_des_especes" display="Retour en haut de page "/>
    <hyperlink ref="L268:M270" location="tableau_des_especes" display="Retour en haut de page "/>
    <hyperlink ref="L160:M162" location="tableau_des_especes" display="Retour en haut de page "/>
    <hyperlink ref="L106:M108" location="tableau_des_especes" display="Retour en haut de page "/>
    <hyperlink ref="L178:M180" location="tableau_des_especes" display="Retour en haut de page "/>
    <hyperlink ref="L232:M234" location="tableau_des_especes" display="Retour en haut de page "/>
    <hyperlink ref="L70:M72" location="tableau_des_especes" display="Retour en haut de page "/>
    <hyperlink ref="L88:M90" location="tableau_des_especes" display="Retour en haut de page "/>
    <hyperlink ref="L322:M324" location="tableau_des_especes" display="Retour en haut de page "/>
    <hyperlink ref="L250:M252" location="tableau_des_especes" display="Retour en haut de page "/>
    <hyperlink ref="L196:M198" location="tableau_des_especes" display="Retour en haut de page "/>
    <hyperlink ref="L376:M378" location="tableau_des_especes" display="Retour en haut de page "/>
    <hyperlink ref="L394:M396" location="tableau_des_especes" display="Retour en haut de page "/>
    <hyperlink ref="L412:M414" location="tableau_des_especes" display="Retour en haut de page "/>
    <hyperlink ref="L358:M360" location="tableau_des_especes" display="Retour en haut de page "/>
    <hyperlink ref="L214:M216" location="tableau_des_especes" display="Retour en haut de page "/>
    <hyperlink ref="L3" location="Fiche_Navette_fourragère" display="Navette fourragere"/>
    <hyperlink ref="C3" location="Fiche_Avoine_Noire" display="Avoine noire"/>
    <hyperlink ref="D3" location="Fiche_Avoine_Rude" display="Avoine rude"/>
    <hyperlink ref="R3" location="Fiche_Tournesol" display="Tournesol"/>
    <hyperlink ref="M3" location="Fiche_Nyger" display="Nyger"/>
    <hyperlink ref="J3" location="Fiche_Lin_Graine_de_printemps" display="Lin de printemps (graine)"/>
    <hyperlink ref="Q3" location="Fiche_Sarrasin" display="Sarrasin"/>
    <hyperlink ref="U3" location="Fiche_Vesce_commune_de_printemps" display="Vesce commune de printemps"/>
    <hyperlink ref="V3" location="Fiche_Vesce_pourpre" display="Vesce pourpre Type BINGO"/>
    <hyperlink ref="T3" location="Fiche_Trefle_blanc_nain" display="Trefle blanc nain"/>
    <hyperlink ref="K3" location="Fiche_Luzerne" display="Luzerne"/>
    <hyperlink ref="L304:M306" location="tableau_des_especes" display="Retour en haut de page "/>
    <hyperlink ref="P3" location="Fiche_Pois_protéagineux" display="Pois protéagineux"/>
  </hyperlinks>
  <pageMargins left="0.78740157499999996" right="0.78740157499999996" top="0.984251969" bottom="0.984251969"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enableFormatConditionsCalculation="0">
    <tabColor rgb="FFFF0000"/>
  </sheetPr>
  <dimension ref="A1:X69"/>
  <sheetViews>
    <sheetView zoomScale="70" zoomScaleNormal="70" zoomScalePageLayoutView="70" workbookViewId="0">
      <selection activeCell="A23" sqref="A23"/>
    </sheetView>
  </sheetViews>
  <sheetFormatPr baseColWidth="10" defaultColWidth="11.5" defaultRowHeight="14" x14ac:dyDescent="0"/>
  <cols>
    <col min="1" max="1" width="52.5" style="84" customWidth="1"/>
    <col min="2" max="2" width="11.5" style="84" customWidth="1"/>
    <col min="3" max="3" width="13.5" style="84" bestFit="1" customWidth="1"/>
    <col min="4" max="4" width="11.5" style="84"/>
    <col min="5" max="5" width="37.1640625" style="84" customWidth="1"/>
    <col min="6" max="6" width="1.5" style="84" customWidth="1"/>
    <col min="7" max="7" width="27.6640625" style="84" customWidth="1"/>
    <col min="8" max="8" width="29.33203125" style="84" customWidth="1"/>
    <col min="9" max="9" width="27.1640625" style="84" customWidth="1"/>
    <col min="10" max="10" width="12.5" style="84" customWidth="1"/>
    <col min="11" max="11" width="11" style="84" customWidth="1"/>
    <col min="12" max="12" width="16.6640625" style="84" customWidth="1"/>
    <col min="13" max="13" width="20" style="84" customWidth="1"/>
    <col min="14" max="14" width="7.5" style="84" customWidth="1"/>
    <col min="15" max="15" width="19.83203125" style="84" customWidth="1"/>
    <col min="16" max="16" width="31.33203125" style="84" customWidth="1"/>
    <col min="17" max="17" width="29.83203125" style="84" customWidth="1"/>
    <col min="18" max="18" width="26.83203125" style="84" customWidth="1"/>
    <col min="19" max="19" width="15.6640625" style="84" customWidth="1"/>
    <col min="20" max="20" width="11.5" style="280" customWidth="1"/>
    <col min="21" max="22" width="11.5" style="84" customWidth="1"/>
    <col min="23" max="23" width="11.5" style="227" customWidth="1"/>
    <col min="24" max="24" width="13.33203125" style="84" customWidth="1"/>
    <col min="25" max="27" width="13.5" style="84" customWidth="1"/>
    <col min="28" max="16384" width="11.5" style="84"/>
  </cols>
  <sheetData>
    <row r="1" spans="1:24" ht="44" customHeight="1" thickBot="1">
      <c r="A1" s="647" t="s">
        <v>739</v>
      </c>
      <c r="B1" s="648"/>
      <c r="C1" s="648"/>
      <c r="D1" s="648"/>
      <c r="E1" s="648"/>
      <c r="F1" s="413"/>
      <c r="G1" s="322"/>
      <c r="H1" s="716" t="s">
        <v>740</v>
      </c>
      <c r="I1" s="717"/>
      <c r="J1" s="676" t="s">
        <v>299</v>
      </c>
      <c r="K1" s="677"/>
      <c r="L1" s="677"/>
      <c r="M1" s="677"/>
      <c r="N1" s="678"/>
      <c r="O1" s="320" t="s">
        <v>658</v>
      </c>
      <c r="X1" s="98"/>
    </row>
    <row r="2" spans="1:24" ht="143.25" customHeight="1" thickBot="1">
      <c r="A2" s="116"/>
      <c r="B2" s="673" t="s">
        <v>748</v>
      </c>
      <c r="C2" s="674"/>
      <c r="D2" s="674"/>
      <c r="E2" s="675"/>
      <c r="F2" s="424"/>
      <c r="G2" s="425" t="s">
        <v>737</v>
      </c>
      <c r="H2" s="311" t="s">
        <v>738</v>
      </c>
      <c r="I2" s="310" t="s">
        <v>718</v>
      </c>
      <c r="J2" s="310" t="s">
        <v>524</v>
      </c>
      <c r="K2" s="312" t="s">
        <v>641</v>
      </c>
      <c r="L2" s="426" t="s">
        <v>922</v>
      </c>
      <c r="M2" s="324" t="s">
        <v>636</v>
      </c>
      <c r="N2" s="286"/>
      <c r="T2" s="385" t="s">
        <v>700</v>
      </c>
      <c r="U2" s="385" t="s">
        <v>699</v>
      </c>
      <c r="V2" s="385" t="s">
        <v>698</v>
      </c>
      <c r="W2" s="385" t="s">
        <v>697</v>
      </c>
      <c r="X2" s="385" t="s">
        <v>413</v>
      </c>
    </row>
    <row r="3" spans="1:24" ht="21" customHeight="1" thickBot="1">
      <c r="A3" s="358" t="s">
        <v>689</v>
      </c>
      <c r="B3" s="359"/>
      <c r="C3" s="360"/>
      <c r="D3" s="360"/>
      <c r="E3" s="361"/>
      <c r="F3" s="418"/>
      <c r="G3" s="362">
        <f>INDEX(TAB,Traitement_resultats!$AC$39,T3)</f>
        <v>0</v>
      </c>
      <c r="H3" s="431" t="str">
        <f>IF(INDEX(TAB,Traitement_resultats!$AC$40,T3)="","-",VLOOKUP((INDEX(TAB,Traitement_resultats!$AC$40,T3)), GEL,2,0))</f>
        <v>-</v>
      </c>
      <c r="I3" s="432">
        <f>INDEX(TAB,Traitement_resultats!$AC$42,T3)</f>
        <v>0</v>
      </c>
      <c r="J3" s="433">
        <f>INDEX(TAB,Traitement_resultats!$AC$45,T3)</f>
        <v>0</v>
      </c>
      <c r="K3" s="434">
        <f>INDEX(TAB,Traitement_resultats!$AC$44,T3)</f>
        <v>0</v>
      </c>
      <c r="L3" s="430">
        <f>INDEX(TAB,Traitement_resultats!$AC$43,T3)</f>
        <v>0</v>
      </c>
      <c r="M3" s="435" t="s">
        <v>921</v>
      </c>
      <c r="N3" s="323"/>
      <c r="O3" s="681" t="s">
        <v>708</v>
      </c>
      <c r="P3" s="682"/>
      <c r="Q3" s="683"/>
      <c r="T3" s="385">
        <v>27</v>
      </c>
      <c r="U3" s="385">
        <f>W3</f>
        <v>0</v>
      </c>
      <c r="V3" s="385">
        <f t="shared" ref="V3:V18" si="0">IF(U3=U2,0,U3)</f>
        <v>0</v>
      </c>
      <c r="W3" s="385">
        <f>IF(M3="Non-applicable",0,IF(M3&gt;0,1,0))</f>
        <v>0</v>
      </c>
      <c r="X3" s="385">
        <f>INDEX(TAB,Traitement_resultats!$AC$41,T3)</f>
        <v>0</v>
      </c>
    </row>
    <row r="4" spans="1:24" ht="21" customHeight="1" thickBot="1">
      <c r="A4" s="367" t="s">
        <v>687</v>
      </c>
      <c r="B4" s="364"/>
      <c r="C4" s="365"/>
      <c r="D4" s="365"/>
      <c r="E4" s="366"/>
      <c r="F4" s="419"/>
      <c r="G4" s="362">
        <f>INDEX(TAB,Traitement_resultats!$AC$39,T4)</f>
        <v>0</v>
      </c>
      <c r="H4" s="431" t="str">
        <f>IF(INDEX(TAB,Traitement_resultats!$AC$40,T4)="","-",VLOOKUP((INDEX(TAB,Traitement_resultats!$AC$40,T4)), GEL,2,0))</f>
        <v>-</v>
      </c>
      <c r="I4" s="432">
        <f>INDEX(TAB,Traitement_resultats!$AC$42,T4)</f>
        <v>0</v>
      </c>
      <c r="J4" s="433">
        <f>INDEX(TAB,Traitement_resultats!$AC$45,T4)</f>
        <v>0</v>
      </c>
      <c r="K4" s="434">
        <f>INDEX(TAB,Traitement_resultats!$AC$44,T4)</f>
        <v>0</v>
      </c>
      <c r="L4" s="430">
        <f>INDEX(TAB,Traitement_resultats!$AC$43,T4)</f>
        <v>0</v>
      </c>
      <c r="M4" s="435" t="s">
        <v>921</v>
      </c>
      <c r="N4" s="323"/>
      <c r="O4" s="699" t="s">
        <v>744</v>
      </c>
      <c r="P4" s="699"/>
      <c r="Q4" s="700"/>
      <c r="T4" s="385">
        <v>26</v>
      </c>
      <c r="U4" s="385">
        <f>W4+W3</f>
        <v>0</v>
      </c>
      <c r="V4" s="385">
        <f t="shared" si="0"/>
        <v>0</v>
      </c>
      <c r="W4" s="385">
        <f t="shared" ref="W4:W28" si="1">IF(M4="Non-applicable",0,IF(M4&gt;0,1,0))</f>
        <v>0</v>
      </c>
      <c r="X4" s="385">
        <f>INDEX(TAB,Traitement_resultats!$AC$41,T4)</f>
        <v>0</v>
      </c>
    </row>
    <row r="5" spans="1:24" ht="21" customHeight="1" thickBot="1">
      <c r="A5" s="363" t="s">
        <v>688</v>
      </c>
      <c r="B5" s="364"/>
      <c r="C5" s="365"/>
      <c r="D5" s="365"/>
      <c r="E5" s="366"/>
      <c r="F5" s="419"/>
      <c r="G5" s="362">
        <f>INDEX(TAB,Traitement_resultats!$AC$39,T5)</f>
        <v>0</v>
      </c>
      <c r="H5" s="431" t="str">
        <f>IF(INDEX(TAB,Traitement_resultats!$AC$40,T5)="","-",VLOOKUP((INDEX(TAB,Traitement_resultats!$AC$40,T5)), GEL,2,0))</f>
        <v>-</v>
      </c>
      <c r="I5" s="432">
        <f>INDEX(TAB,Traitement_resultats!$AC$42,T5)</f>
        <v>0</v>
      </c>
      <c r="J5" s="433">
        <f>INDEX(TAB,Traitement_resultats!$AC$45,T5)</f>
        <v>0</v>
      </c>
      <c r="K5" s="434">
        <f>INDEX(TAB,Traitement_resultats!$AC$44,T5)</f>
        <v>0</v>
      </c>
      <c r="L5" s="430">
        <f>INDEX(TAB,Traitement_resultats!$AC$43,T5)</f>
        <v>0</v>
      </c>
      <c r="M5" s="435" t="s">
        <v>921</v>
      </c>
      <c r="N5" s="323"/>
      <c r="O5" s="701"/>
      <c r="P5" s="701"/>
      <c r="Q5" s="702"/>
      <c r="T5" s="385">
        <v>25</v>
      </c>
      <c r="U5" s="385">
        <f t="shared" ref="U5:U18" si="2">W5+U4</f>
        <v>0</v>
      </c>
      <c r="V5" s="385">
        <f t="shared" si="0"/>
        <v>0</v>
      </c>
      <c r="W5" s="385">
        <f t="shared" si="1"/>
        <v>0</v>
      </c>
      <c r="X5" s="385">
        <f>INDEX(TAB,Traitement_resultats!$AC$41,T5)</f>
        <v>0</v>
      </c>
    </row>
    <row r="6" spans="1:24" ht="21" customHeight="1" thickBot="1">
      <c r="A6" s="363" t="s">
        <v>686</v>
      </c>
      <c r="B6" s="364"/>
      <c r="C6" s="365"/>
      <c r="D6" s="365"/>
      <c r="E6" s="366"/>
      <c r="F6" s="419"/>
      <c r="G6" s="362">
        <f>INDEX(TAB,Traitement_resultats!$AC$39,T6)</f>
        <v>0</v>
      </c>
      <c r="H6" s="431" t="str">
        <f>IF(INDEX(TAB,Traitement_resultats!$AC$40,T6)="","-",VLOOKUP((INDEX(TAB,Traitement_resultats!$AC$40,T6)), GEL,2,0))</f>
        <v>-</v>
      </c>
      <c r="I6" s="432">
        <f>INDEX(TAB,Traitement_resultats!$AC$42,T6)</f>
        <v>0</v>
      </c>
      <c r="J6" s="433">
        <f>INDEX(TAB,Traitement_resultats!$AC$45,T6)</f>
        <v>0</v>
      </c>
      <c r="K6" s="434">
        <f>INDEX(TAB,Traitement_resultats!$AC$44,T6)</f>
        <v>0</v>
      </c>
      <c r="L6" s="430">
        <f>INDEX(TAB,Traitement_resultats!$AC$43,T6)</f>
        <v>0</v>
      </c>
      <c r="M6" s="436" t="s">
        <v>921</v>
      </c>
      <c r="N6" s="323"/>
      <c r="O6" s="690" t="s">
        <v>701</v>
      </c>
      <c r="P6" s="691"/>
      <c r="Q6" s="250">
        <f>SUM(Traitement_resultats!B24:V24)</f>
        <v>0</v>
      </c>
      <c r="T6" s="385">
        <v>24</v>
      </c>
      <c r="U6" s="385">
        <f t="shared" si="2"/>
        <v>0</v>
      </c>
      <c r="V6" s="385">
        <f t="shared" si="0"/>
        <v>0</v>
      </c>
      <c r="W6" s="385">
        <f t="shared" si="1"/>
        <v>0</v>
      </c>
      <c r="X6" s="385">
        <f>INDEX(TAB,Traitement_resultats!$AC$41,T6)</f>
        <v>0</v>
      </c>
    </row>
    <row r="7" spans="1:24" ht="21" customHeight="1" thickBot="1">
      <c r="A7" s="363" t="s">
        <v>933</v>
      </c>
      <c r="B7" s="364"/>
      <c r="C7" s="365"/>
      <c r="D7" s="365"/>
      <c r="E7" s="366"/>
      <c r="F7" s="419"/>
      <c r="G7" s="362">
        <f>INDEX(TAB,Traitement_resultats!$AC$39,T7)</f>
        <v>0</v>
      </c>
      <c r="H7" s="431" t="str">
        <f>IF(INDEX(TAB,Traitement_resultats!$AC$40,T7)="","-",VLOOKUP((INDEX(TAB,Traitement_resultats!$AC$40,T7)), GEL,2,0))</f>
        <v>-</v>
      </c>
      <c r="I7" s="432">
        <f>INDEX(TAB,Traitement_resultats!$AC$42,T7)</f>
        <v>0</v>
      </c>
      <c r="J7" s="433">
        <f>INDEX(TAB,Traitement_resultats!$AC$45,T7)</f>
        <v>0</v>
      </c>
      <c r="K7" s="434">
        <f>INDEX(TAB,Traitement_resultats!$AC$44,T7)</f>
        <v>0</v>
      </c>
      <c r="L7" s="430">
        <f>INDEX(TAB,Traitement_resultats!$AC$43,T7)</f>
        <v>0</v>
      </c>
      <c r="M7" s="437">
        <v>0</v>
      </c>
      <c r="N7" s="323"/>
      <c r="O7" s="703" t="str">
        <f>IF(SUM(Traitement_resultats!B24:V24)=0,"-",IF(SUM(Traitement_resultats!B24:V24)&gt;1.2,"Risque de sur-dosage des plantes de services !!",IF(SUM(Traitement_resultats!B24:V24)&lt;0.8,"Risque de sous-dosage des plantes de services !!","")))</f>
        <v>-</v>
      </c>
      <c r="P7" s="703"/>
      <c r="Q7" s="704"/>
      <c r="T7" s="385">
        <v>23</v>
      </c>
      <c r="U7" s="385">
        <f t="shared" si="2"/>
        <v>0</v>
      </c>
      <c r="V7" s="385">
        <f t="shared" si="0"/>
        <v>0</v>
      </c>
      <c r="W7" s="385">
        <f t="shared" si="1"/>
        <v>0</v>
      </c>
      <c r="X7" s="385">
        <f>INDEX(TAB,Traitement_resultats!$AC$41,T7)</f>
        <v>0</v>
      </c>
    </row>
    <row r="8" spans="1:24" ht="21" customHeight="1" thickBot="1">
      <c r="A8" s="363" t="s">
        <v>41</v>
      </c>
      <c r="B8" s="364"/>
      <c r="C8" s="365"/>
      <c r="D8" s="365"/>
      <c r="E8" s="366"/>
      <c r="F8" s="419"/>
      <c r="G8" s="362">
        <f>INDEX(TAB,Traitement_resultats!$AC$39,T8)</f>
        <v>0</v>
      </c>
      <c r="H8" s="431" t="str">
        <f>IF(INDEX(TAB,Traitement_resultats!$AC$40,T8)="","-",VLOOKUP((INDEX(TAB,Traitement_resultats!$AC$40,T8)), GEL,2,0))</f>
        <v>-</v>
      </c>
      <c r="I8" s="432">
        <f>INDEX(TAB,Traitement_resultats!$AC$42,T8)</f>
        <v>0</v>
      </c>
      <c r="J8" s="433">
        <f>INDEX(TAB,Traitement_resultats!$AC$45,T8)</f>
        <v>0</v>
      </c>
      <c r="K8" s="434">
        <f>INDEX(TAB,Traitement_resultats!$AC$44,T8)</f>
        <v>0</v>
      </c>
      <c r="L8" s="430">
        <f>INDEX(TAB,Traitement_resultats!$AC$43,T8)</f>
        <v>0</v>
      </c>
      <c r="M8" s="436">
        <v>0</v>
      </c>
      <c r="N8" s="323"/>
      <c r="O8" s="684" t="s">
        <v>745</v>
      </c>
      <c r="P8" s="685"/>
      <c r="Q8" s="686"/>
      <c r="T8" s="385">
        <v>22</v>
      </c>
      <c r="U8" s="385">
        <f t="shared" si="2"/>
        <v>0</v>
      </c>
      <c r="V8" s="385">
        <f t="shared" si="0"/>
        <v>0</v>
      </c>
      <c r="W8" s="385">
        <f t="shared" si="1"/>
        <v>0</v>
      </c>
      <c r="X8" s="385">
        <f>INDEX(TAB,Traitement_resultats!$AC$41,T8)</f>
        <v>0</v>
      </c>
    </row>
    <row r="9" spans="1:24" ht="21" customHeight="1" thickBot="1">
      <c r="A9" s="363" t="s">
        <v>422</v>
      </c>
      <c r="B9" s="364"/>
      <c r="C9" s="365"/>
      <c r="D9" s="365"/>
      <c r="E9" s="366"/>
      <c r="F9" s="419"/>
      <c r="G9" s="362">
        <f>INDEX(TAB,Traitement_resultats!$AC$39,T9)</f>
        <v>0</v>
      </c>
      <c r="H9" s="431" t="str">
        <f>IF(INDEX(TAB,Traitement_resultats!$AC$40,T9)="","-",VLOOKUP((INDEX(TAB,Traitement_resultats!$AC$40,T9)), GEL,2,0))</f>
        <v>-</v>
      </c>
      <c r="I9" s="432">
        <f>INDEX(TAB,Traitement_resultats!$AC$42,T9)</f>
        <v>0</v>
      </c>
      <c r="J9" s="433">
        <f>INDEX(TAB,Traitement_resultats!$AC$45,T9)</f>
        <v>0</v>
      </c>
      <c r="K9" s="434">
        <f>INDEX(TAB,Traitement_resultats!$AC$44,T9)</f>
        <v>0</v>
      </c>
      <c r="L9" s="430">
        <f>INDEX(TAB,Traitement_resultats!$AC$43,T9)</f>
        <v>0</v>
      </c>
      <c r="M9" s="435">
        <v>0</v>
      </c>
      <c r="N9" s="323"/>
      <c r="O9" s="687"/>
      <c r="P9" s="688"/>
      <c r="Q9" s="689"/>
      <c r="T9" s="385">
        <v>21</v>
      </c>
      <c r="U9" s="385">
        <f t="shared" si="2"/>
        <v>0</v>
      </c>
      <c r="V9" s="385">
        <f t="shared" si="0"/>
        <v>0</v>
      </c>
      <c r="W9" s="385">
        <f t="shared" si="1"/>
        <v>0</v>
      </c>
      <c r="X9" s="385">
        <f>INDEX(TAB,Traitement_resultats!$AC$41,T9)</f>
        <v>0</v>
      </c>
    </row>
    <row r="10" spans="1:24" ht="21" customHeight="1" thickBot="1">
      <c r="A10" s="363" t="s">
        <v>932</v>
      </c>
      <c r="B10" s="364"/>
      <c r="C10" s="365"/>
      <c r="D10" s="365"/>
      <c r="E10" s="366"/>
      <c r="F10" s="419"/>
      <c r="G10" s="362">
        <f>INDEX(TAB,Traitement_resultats!$AC$39,T10)</f>
        <v>0</v>
      </c>
      <c r="H10" s="431" t="str">
        <f>IF(INDEX(TAB,Traitement_resultats!$AC$40,T10)="","-",VLOOKUP((INDEX(TAB,Traitement_resultats!$AC$40,T10)), GEL,2,0))</f>
        <v>-</v>
      </c>
      <c r="I10" s="432">
        <f>INDEX(TAB,Traitement_resultats!$AC$42,T10)</f>
        <v>0</v>
      </c>
      <c r="J10" s="433">
        <f>INDEX(TAB,Traitement_resultats!$AC$45,T10)</f>
        <v>0</v>
      </c>
      <c r="K10" s="434">
        <f>INDEX(TAB,Traitement_resultats!$AC$44,T10)</f>
        <v>0</v>
      </c>
      <c r="L10" s="430">
        <f>INDEX(TAB,Traitement_resultats!$AC$43,T10)</f>
        <v>0</v>
      </c>
      <c r="M10" s="436">
        <v>0</v>
      </c>
      <c r="N10" s="323"/>
      <c r="O10" s="697" t="s">
        <v>702</v>
      </c>
      <c r="P10" s="698"/>
      <c r="Q10" s="249" t="str">
        <f>Melange!H24</f>
        <v/>
      </c>
      <c r="T10" s="385">
        <v>20</v>
      </c>
      <c r="U10" s="385">
        <f t="shared" si="2"/>
        <v>0</v>
      </c>
      <c r="V10" s="385">
        <f t="shared" si="0"/>
        <v>0</v>
      </c>
      <c r="W10" s="385">
        <f t="shared" si="1"/>
        <v>0</v>
      </c>
      <c r="X10" s="385">
        <f>INDEX(TAB,Traitement_resultats!$AC$41,T10)</f>
        <v>0</v>
      </c>
    </row>
    <row r="11" spans="1:24" ht="21" customHeight="1" thickBot="1">
      <c r="A11" s="363" t="s">
        <v>794</v>
      </c>
      <c r="B11" s="364"/>
      <c r="C11" s="365"/>
      <c r="D11" s="365"/>
      <c r="E11" s="366"/>
      <c r="F11" s="419"/>
      <c r="G11" s="362">
        <f>INDEX(TAB,Traitement_resultats!$AC$39,T11)</f>
        <v>0</v>
      </c>
      <c r="H11" s="431" t="str">
        <f>IF(INDEX(TAB,Traitement_resultats!$AC$40,T11)="","-",VLOOKUP((INDEX(TAB,Traitement_resultats!$AC$40,T11)), GEL,2,0))</f>
        <v>-</v>
      </c>
      <c r="I11" s="432">
        <f>INDEX(TAB,Traitement_resultats!$AC$42,T11)</f>
        <v>0</v>
      </c>
      <c r="J11" s="433">
        <f>INDEX(TAB,Traitement_resultats!$AC$45,T11)</f>
        <v>0</v>
      </c>
      <c r="K11" s="434">
        <f>INDEX(TAB,Traitement_resultats!$AC$44,T11)</f>
        <v>0</v>
      </c>
      <c r="L11" s="430">
        <f>INDEX(TAB,Traitement_resultats!$AC$43,T11)</f>
        <v>0</v>
      </c>
      <c r="M11" s="436">
        <v>0</v>
      </c>
      <c r="N11" s="323"/>
      <c r="O11" s="321" t="s">
        <v>731</v>
      </c>
      <c r="P11" s="245"/>
      <c r="Q11" s="246" t="s">
        <v>663</v>
      </c>
      <c r="T11" s="385">
        <v>19</v>
      </c>
      <c r="U11" s="385">
        <f t="shared" si="2"/>
        <v>0</v>
      </c>
      <c r="V11" s="385">
        <f t="shared" si="0"/>
        <v>0</v>
      </c>
      <c r="W11" s="385">
        <f t="shared" si="1"/>
        <v>0</v>
      </c>
      <c r="X11" s="385">
        <f>INDEX(TAB,Traitement_resultats!$AC$41,T11)</f>
        <v>0</v>
      </c>
    </row>
    <row r="12" spans="1:24" ht="21" customHeight="1" thickBot="1">
      <c r="A12" s="363" t="s">
        <v>3</v>
      </c>
      <c r="B12" s="364"/>
      <c r="C12" s="365"/>
      <c r="D12" s="365"/>
      <c r="E12" s="366"/>
      <c r="F12" s="419"/>
      <c r="G12" s="362">
        <f>INDEX(TAB,Traitement_resultats!$AC$39,T12)</f>
        <v>0</v>
      </c>
      <c r="H12" s="431" t="str">
        <f>IF(INDEX(TAB,Traitement_resultats!$AC$40,T12)="","-",VLOOKUP((INDEX(TAB,Traitement_resultats!$AC$40,T12)), GEL,2,0))</f>
        <v>-</v>
      </c>
      <c r="I12" s="432">
        <f>INDEX(TAB,Traitement_resultats!$AC$42,T12)</f>
        <v>0</v>
      </c>
      <c r="J12" s="433">
        <f>INDEX(TAB,Traitement_resultats!$AC$45,T12)</f>
        <v>0</v>
      </c>
      <c r="K12" s="434">
        <f>INDEX(TAB,Traitement_resultats!$AC$44,T12)</f>
        <v>0</v>
      </c>
      <c r="L12" s="430">
        <f>INDEX(TAB,Traitement_resultats!$AC$43,T12)</f>
        <v>0</v>
      </c>
      <c r="M12" s="438">
        <v>0</v>
      </c>
      <c r="N12" s="323"/>
      <c r="O12" s="705" t="s">
        <v>687</v>
      </c>
      <c r="P12" s="706"/>
      <c r="Q12" s="244" t="s">
        <v>212</v>
      </c>
      <c r="T12" s="385">
        <v>18</v>
      </c>
      <c r="U12" s="385">
        <f t="shared" si="2"/>
        <v>0</v>
      </c>
      <c r="V12" s="385">
        <f t="shared" si="0"/>
        <v>0</v>
      </c>
      <c r="W12" s="385">
        <f t="shared" si="1"/>
        <v>0</v>
      </c>
      <c r="X12" s="385">
        <f>INDEX(TAB,Traitement_resultats!$AC$41,T12)</f>
        <v>0</v>
      </c>
    </row>
    <row r="13" spans="1:24" ht="21" customHeight="1" thickBot="1">
      <c r="A13" s="363" t="s">
        <v>796</v>
      </c>
      <c r="B13" s="364"/>
      <c r="C13" s="365"/>
      <c r="D13" s="365"/>
      <c r="E13" s="366"/>
      <c r="F13" s="419"/>
      <c r="G13" s="362">
        <f>INDEX(TAB,Traitement_resultats!$AC$39,T13)</f>
        <v>0</v>
      </c>
      <c r="H13" s="431" t="str">
        <f>IF(INDEX(TAB,Traitement_resultats!$AC$40,T13)="","-",VLOOKUP((INDEX(TAB,Traitement_resultats!$AC$40,T13)), GEL,2,0))</f>
        <v>-</v>
      </c>
      <c r="I13" s="432">
        <f>INDEX(TAB,Traitement_resultats!$AC$42,T13)</f>
        <v>0</v>
      </c>
      <c r="J13" s="433">
        <f>INDEX(TAB,Traitement_resultats!$AC$45,T13)</f>
        <v>0</v>
      </c>
      <c r="K13" s="434">
        <f>INDEX(TAB,Traitement_resultats!$AC$44,T13)</f>
        <v>0</v>
      </c>
      <c r="L13" s="430">
        <f>INDEX(TAB,Traitement_resultats!$AC$43,T13)</f>
        <v>0</v>
      </c>
      <c r="M13" s="437">
        <v>0</v>
      </c>
      <c r="N13" s="323"/>
      <c r="O13" s="671" t="s">
        <v>689</v>
      </c>
      <c r="P13" s="672"/>
      <c r="Q13" s="244" t="s">
        <v>212</v>
      </c>
      <c r="T13" s="385">
        <v>17</v>
      </c>
      <c r="U13" s="385">
        <f t="shared" si="2"/>
        <v>0</v>
      </c>
      <c r="V13" s="385">
        <f t="shared" si="0"/>
        <v>0</v>
      </c>
      <c r="W13" s="385">
        <f t="shared" si="1"/>
        <v>0</v>
      </c>
      <c r="X13" s="385">
        <f>INDEX(TAB,Traitement_resultats!$AC$41,T13)</f>
        <v>0</v>
      </c>
    </row>
    <row r="14" spans="1:24" ht="21" customHeight="1" thickBot="1">
      <c r="A14" s="367" t="s">
        <v>295</v>
      </c>
      <c r="B14" s="368"/>
      <c r="C14" s="369"/>
      <c r="D14" s="369"/>
      <c r="E14" s="370"/>
      <c r="F14" s="420"/>
      <c r="G14" s="362">
        <f>INDEX(TAB,Traitement_resultats!$AC$39,T14)</f>
        <v>0</v>
      </c>
      <c r="H14" s="431" t="str">
        <f>IF(INDEX(TAB,Traitement_resultats!$AC$40,T14)="","-",VLOOKUP((INDEX(TAB,Traitement_resultats!$AC$40,T14)), GEL,2,0))</f>
        <v>-</v>
      </c>
      <c r="I14" s="432">
        <f>INDEX(TAB,Traitement_resultats!$AC$42,T14)</f>
        <v>0</v>
      </c>
      <c r="J14" s="433">
        <f>INDEX(TAB,Traitement_resultats!$AC$45,T14)</f>
        <v>0</v>
      </c>
      <c r="K14" s="434">
        <f>INDEX(TAB,Traitement_resultats!$AC$44,T14)</f>
        <v>0</v>
      </c>
      <c r="L14" s="430">
        <f>INDEX(TAB,Traitement_resultats!$AC$43,T14)</f>
        <v>0</v>
      </c>
      <c r="M14" s="436">
        <v>0</v>
      </c>
      <c r="N14" s="323"/>
      <c r="O14" s="671" t="s">
        <v>688</v>
      </c>
      <c r="P14" s="672"/>
      <c r="Q14" s="244" t="s">
        <v>7</v>
      </c>
      <c r="T14" s="385">
        <v>16</v>
      </c>
      <c r="U14" s="385">
        <f t="shared" si="2"/>
        <v>0</v>
      </c>
      <c r="V14" s="385">
        <f t="shared" si="0"/>
        <v>0</v>
      </c>
      <c r="W14" s="385">
        <f t="shared" si="1"/>
        <v>0</v>
      </c>
      <c r="X14" s="385">
        <f>INDEX(TAB,Traitement_resultats!$AC$41,T14)</f>
        <v>0</v>
      </c>
    </row>
    <row r="15" spans="1:24" ht="21" customHeight="1" thickBot="1">
      <c r="A15" s="363" t="s">
        <v>2</v>
      </c>
      <c r="B15" s="368"/>
      <c r="C15" s="369"/>
      <c r="D15" s="369"/>
      <c r="E15" s="370"/>
      <c r="F15" s="420"/>
      <c r="G15" s="362">
        <f>INDEX(TAB,Traitement_resultats!$AC$39,T15)</f>
        <v>0</v>
      </c>
      <c r="H15" s="431" t="str">
        <f>IF(INDEX(TAB,Traitement_resultats!$AC$40,T15)="","-",VLOOKUP((INDEX(TAB,Traitement_resultats!$AC$40,T15)), GEL,2,0))</f>
        <v>-</v>
      </c>
      <c r="I15" s="432">
        <f>INDEX(TAB,Traitement_resultats!$AC$42,T15)</f>
        <v>0</v>
      </c>
      <c r="J15" s="433">
        <f>INDEX(TAB,Traitement_resultats!$AC$45,T15)</f>
        <v>0</v>
      </c>
      <c r="K15" s="434">
        <f>INDEX(TAB,Traitement_resultats!$AC$44,T15)</f>
        <v>0</v>
      </c>
      <c r="L15" s="430">
        <f>INDEX(TAB,Traitement_resultats!$AC$43,T15)</f>
        <v>0</v>
      </c>
      <c r="M15" s="436">
        <v>0</v>
      </c>
      <c r="N15" s="323"/>
      <c r="O15" s="692" t="s">
        <v>686</v>
      </c>
      <c r="P15" s="693"/>
      <c r="Q15" s="228" t="s">
        <v>213</v>
      </c>
      <c r="T15" s="385">
        <v>15</v>
      </c>
      <c r="U15" s="385">
        <f t="shared" si="2"/>
        <v>0</v>
      </c>
      <c r="V15" s="385">
        <f t="shared" si="0"/>
        <v>0</v>
      </c>
      <c r="W15" s="385">
        <f t="shared" si="1"/>
        <v>0</v>
      </c>
      <c r="X15" s="385">
        <f>INDEX(TAB,Traitement_resultats!$AC$41,T15)</f>
        <v>0</v>
      </c>
    </row>
    <row r="16" spans="1:24" ht="21" customHeight="1" thickBot="1">
      <c r="A16" s="363" t="s">
        <v>791</v>
      </c>
      <c r="B16" s="368"/>
      <c r="C16" s="369"/>
      <c r="D16" s="369"/>
      <c r="E16" s="370"/>
      <c r="F16" s="420"/>
      <c r="G16" s="362">
        <f>INDEX(TAB,Traitement_resultats!$AC$39,T16)</f>
        <v>0</v>
      </c>
      <c r="H16" s="431" t="str">
        <f>IF(INDEX(TAB,Traitement_resultats!$AC$40,T16)="","-",VLOOKUP((INDEX(TAB,Traitement_resultats!$AC$40,T16)), GEL,2,0))</f>
        <v>-</v>
      </c>
      <c r="I16" s="432">
        <f>INDEX(TAB,Traitement_resultats!$AC$42,T16)</f>
        <v>0</v>
      </c>
      <c r="J16" s="433">
        <f>INDEX(TAB,Traitement_resultats!$AC$45,T16)</f>
        <v>0</v>
      </c>
      <c r="K16" s="434">
        <f>INDEX(TAB,Traitement_resultats!$AC$44,T16)</f>
        <v>0</v>
      </c>
      <c r="L16" s="430">
        <f>INDEX(TAB,Traitement_resultats!$AC$43,T16)</f>
        <v>0</v>
      </c>
      <c r="M16" s="436">
        <v>0</v>
      </c>
      <c r="N16" s="230"/>
      <c r="O16" s="295"/>
      <c r="T16" s="385">
        <v>14</v>
      </c>
      <c r="U16" s="385">
        <f t="shared" si="2"/>
        <v>0</v>
      </c>
      <c r="V16" s="385">
        <f t="shared" si="0"/>
        <v>0</v>
      </c>
      <c r="W16" s="385">
        <f t="shared" si="1"/>
        <v>0</v>
      </c>
      <c r="X16" s="385">
        <f>INDEX(TAB,Traitement_resultats!$AC$41,T16)</f>
        <v>0</v>
      </c>
    </row>
    <row r="17" spans="1:24" ht="21" customHeight="1" thickTop="1" thickBot="1">
      <c r="A17" s="363" t="s">
        <v>799</v>
      </c>
      <c r="B17" s="368"/>
      <c r="C17" s="369"/>
      <c r="D17" s="369"/>
      <c r="E17" s="370"/>
      <c r="F17" s="420"/>
      <c r="G17" s="362">
        <f>INDEX(TAB,Traitement_resultats!$AC$39,T17)</f>
        <v>0</v>
      </c>
      <c r="H17" s="431" t="str">
        <f>IF(INDEX(TAB,Traitement_resultats!$AC$40,T17)="","-",VLOOKUP((INDEX(TAB,Traitement_resultats!$AC$40,T17)), GEL,2,0))</f>
        <v>-</v>
      </c>
      <c r="I17" s="432">
        <f>INDEX(TAB,Traitement_resultats!$AC$42,T17)</f>
        <v>0</v>
      </c>
      <c r="J17" s="433">
        <f>INDEX(TAB,Traitement_resultats!$AC$45,T17)</f>
        <v>0</v>
      </c>
      <c r="K17" s="434">
        <f>INDEX(TAB,Traitement_resultats!$AC$44,T17)</f>
        <v>0</v>
      </c>
      <c r="L17" s="430">
        <f>INDEX(TAB,Traitement_resultats!$AC$43,T17)</f>
        <v>0</v>
      </c>
      <c r="M17" s="436">
        <v>0</v>
      </c>
      <c r="N17" s="230"/>
      <c r="O17" s="707" t="s">
        <v>917</v>
      </c>
      <c r="P17" s="708"/>
      <c r="Q17" s="709"/>
      <c r="T17" s="385">
        <v>13</v>
      </c>
      <c r="U17" s="385">
        <f t="shared" si="2"/>
        <v>0</v>
      </c>
      <c r="V17" s="385">
        <f t="shared" si="0"/>
        <v>0</v>
      </c>
      <c r="W17" s="385">
        <f t="shared" si="1"/>
        <v>0</v>
      </c>
      <c r="X17" s="385">
        <f>INDEX(TAB,Traitement_resultats!$AC$41,T17)</f>
        <v>0</v>
      </c>
    </row>
    <row r="18" spans="1:24" ht="21" customHeight="1" thickBot="1">
      <c r="A18" s="363" t="s">
        <v>800</v>
      </c>
      <c r="B18" s="371"/>
      <c r="C18" s="372"/>
      <c r="D18" s="372"/>
      <c r="E18" s="373"/>
      <c r="F18" s="421"/>
      <c r="G18" s="362">
        <f>INDEX(TAB,Traitement_resultats!$AC$39,T18)</f>
        <v>0</v>
      </c>
      <c r="H18" s="431" t="str">
        <f>IF(INDEX(TAB,Traitement_resultats!$AC$40,T18)="","-",VLOOKUP((INDEX(TAB,Traitement_resultats!$AC$40,T18)), GEL,2,0))</f>
        <v>-</v>
      </c>
      <c r="I18" s="432">
        <f>INDEX(TAB,Traitement_resultats!$AC$42,T18)</f>
        <v>0</v>
      </c>
      <c r="J18" s="433">
        <f>INDEX(TAB,Traitement_resultats!$AC$45,T18)</f>
        <v>0</v>
      </c>
      <c r="K18" s="434">
        <f>INDEX(TAB,Traitement_resultats!$AC$44,T18)</f>
        <v>0</v>
      </c>
      <c r="L18" s="430">
        <f>INDEX(TAB,Traitement_resultats!$AC$43,T18)</f>
        <v>0</v>
      </c>
      <c r="M18" s="437">
        <v>0</v>
      </c>
      <c r="N18" s="230"/>
      <c r="O18" s="710"/>
      <c r="P18" s="711"/>
      <c r="Q18" s="712"/>
      <c r="T18" s="385">
        <v>12</v>
      </c>
      <c r="U18" s="385">
        <f t="shared" si="2"/>
        <v>0</v>
      </c>
      <c r="V18" s="385">
        <f t="shared" si="0"/>
        <v>0</v>
      </c>
      <c r="W18" s="385">
        <f t="shared" si="1"/>
        <v>0</v>
      </c>
      <c r="X18" s="385">
        <f>INDEX(TAB,Traitement_resultats!$AC$41,T18)</f>
        <v>0</v>
      </c>
    </row>
    <row r="19" spans="1:24" ht="21" customHeight="1" thickBot="1">
      <c r="A19" s="374" t="s">
        <v>790</v>
      </c>
      <c r="B19" s="375"/>
      <c r="C19" s="376"/>
      <c r="D19" s="376"/>
      <c r="E19" s="377"/>
      <c r="F19" s="422"/>
      <c r="G19" s="362">
        <f>INDEX(TAB,Traitement_resultats!$AC$39,T19)</f>
        <v>0</v>
      </c>
      <c r="H19" s="431" t="str">
        <f>IF(INDEX(TAB,Traitement_resultats!$AC$40,T19)="","-",VLOOKUP((INDEX(TAB,Traitement_resultats!$AC$40,T19)), GEL,2,0))</f>
        <v>-</v>
      </c>
      <c r="I19" s="432">
        <f>INDEX(TAB,Traitement_resultats!$AC$42,T19)</f>
        <v>0</v>
      </c>
      <c r="J19" s="433">
        <f>INDEX(TAB,Traitement_resultats!$AC$45,T19)</f>
        <v>0</v>
      </c>
      <c r="K19" s="434">
        <f>INDEX(TAB,Traitement_resultats!$AC$44,T19)</f>
        <v>0</v>
      </c>
      <c r="L19" s="430">
        <f>INDEX(TAB,Traitement_resultats!$AC$43,T19)</f>
        <v>0</v>
      </c>
      <c r="M19" s="436">
        <v>0</v>
      </c>
      <c r="N19" s="230"/>
      <c r="O19" s="713"/>
      <c r="P19" s="714"/>
      <c r="Q19" s="715"/>
      <c r="T19" s="385">
        <v>11</v>
      </c>
      <c r="U19" s="385">
        <f t="shared" ref="U19:U27" si="3">W19+U18</f>
        <v>0</v>
      </c>
      <c r="V19" s="385">
        <f t="shared" ref="V19:V27" si="4">IF(U19=U18,0,U19)</f>
        <v>0</v>
      </c>
      <c r="W19" s="385">
        <f t="shared" si="1"/>
        <v>0</v>
      </c>
      <c r="X19" s="385">
        <f>INDEX(TAB,Traitement_resultats!$AC$41,T19)</f>
        <v>0</v>
      </c>
    </row>
    <row r="20" spans="1:24" ht="21" customHeight="1" thickBot="1">
      <c r="A20" s="374" t="s">
        <v>230</v>
      </c>
      <c r="B20" s="375"/>
      <c r="C20" s="376"/>
      <c r="D20" s="376"/>
      <c r="E20" s="377"/>
      <c r="F20" s="422"/>
      <c r="G20" s="362">
        <f>INDEX(TAB,Traitement_resultats!$AC$39,T20)</f>
        <v>0</v>
      </c>
      <c r="H20" s="431" t="str">
        <f>IF(INDEX(TAB,Traitement_resultats!$AC$40,T20)="","-",VLOOKUP((INDEX(TAB,Traitement_resultats!$AC$40,T20)), GEL,2,0))</f>
        <v>-</v>
      </c>
      <c r="I20" s="432">
        <f>INDEX(TAB,Traitement_resultats!$AC$42,T20)</f>
        <v>0</v>
      </c>
      <c r="J20" s="433">
        <f>INDEX(TAB,Traitement_resultats!$AC$45,T20)</f>
        <v>0</v>
      </c>
      <c r="K20" s="434">
        <f>INDEX(TAB,Traitement_resultats!$AC$44,T20)</f>
        <v>0</v>
      </c>
      <c r="L20" s="430">
        <f>INDEX(TAB,Traitement_resultats!$AC$43,T20)</f>
        <v>0</v>
      </c>
      <c r="M20" s="436">
        <v>0</v>
      </c>
      <c r="N20" s="230"/>
      <c r="O20" s="230"/>
      <c r="P20" s="227"/>
      <c r="Q20" s="227"/>
      <c r="T20" s="385">
        <v>10</v>
      </c>
      <c r="U20" s="385">
        <f t="shared" si="3"/>
        <v>0</v>
      </c>
      <c r="V20" s="385">
        <f t="shared" si="4"/>
        <v>0</v>
      </c>
      <c r="W20" s="385">
        <f t="shared" si="1"/>
        <v>0</v>
      </c>
      <c r="X20" s="385">
        <f>INDEX(TAB,Traitement_resultats!$AC$41,T20)</f>
        <v>0</v>
      </c>
    </row>
    <row r="21" spans="1:24" ht="21" customHeight="1" thickBot="1">
      <c r="A21" s="374" t="s">
        <v>1</v>
      </c>
      <c r="B21" s="375"/>
      <c r="C21" s="376"/>
      <c r="D21" s="376"/>
      <c r="E21" s="377"/>
      <c r="F21" s="422"/>
      <c r="G21" s="362">
        <f>INDEX(TAB,Traitement_resultats!$AC$39,T21)</f>
        <v>0</v>
      </c>
      <c r="H21" s="431" t="str">
        <f>IF(INDEX(TAB,Traitement_resultats!$AC$40,T21)="","-",VLOOKUP((INDEX(TAB,Traitement_resultats!$AC$40,T21)), GEL,2,0))</f>
        <v>-</v>
      </c>
      <c r="I21" s="432">
        <f>INDEX(TAB,Traitement_resultats!$AC$42,T21)</f>
        <v>0</v>
      </c>
      <c r="J21" s="433">
        <f>INDEX(TAB,Traitement_resultats!$AC$45,T21)</f>
        <v>0</v>
      </c>
      <c r="K21" s="434">
        <f>INDEX(TAB,Traitement_resultats!$AC$44,T21)</f>
        <v>0</v>
      </c>
      <c r="L21" s="430">
        <f>INDEX(TAB,Traitement_resultats!$AC$43,T21)</f>
        <v>0</v>
      </c>
      <c r="M21" s="438">
        <v>0</v>
      </c>
      <c r="N21" s="230"/>
      <c r="O21" s="230"/>
      <c r="P21" s="227"/>
      <c r="Q21" s="227"/>
      <c r="T21" s="385">
        <v>9</v>
      </c>
      <c r="U21" s="385">
        <f t="shared" si="3"/>
        <v>0</v>
      </c>
      <c r="V21" s="385">
        <f t="shared" si="4"/>
        <v>0</v>
      </c>
      <c r="W21" s="385">
        <f t="shared" si="1"/>
        <v>0</v>
      </c>
      <c r="X21" s="385">
        <f>INDEX(TAB,Traitement_resultats!$AC$41,T21)</f>
        <v>0</v>
      </c>
    </row>
    <row r="22" spans="1:24" ht="21" customHeight="1" thickBot="1">
      <c r="A22" s="446" t="s">
        <v>934</v>
      </c>
      <c r="B22" s="375"/>
      <c r="C22" s="376"/>
      <c r="D22" s="376"/>
      <c r="E22" s="377"/>
      <c r="F22" s="422"/>
      <c r="G22" s="362">
        <f>INDEX(TAB,Traitement_resultats!$AC$39,T22)</f>
        <v>0</v>
      </c>
      <c r="H22" s="431" t="str">
        <f>IF(INDEX(TAB,Traitement_resultats!$AC$40,T22)="","-",VLOOKUP((INDEX(TAB,Traitement_resultats!$AC$40,T22)), GEL,2,0))</f>
        <v>-</v>
      </c>
      <c r="I22" s="432">
        <f>INDEX(TAB,Traitement_resultats!$AC$42,T22)</f>
        <v>0</v>
      </c>
      <c r="J22" s="433">
        <f>INDEX(TAB,Traitement_resultats!$AC$45,T22)</f>
        <v>0</v>
      </c>
      <c r="K22" s="434">
        <f>INDEX(TAB,Traitement_resultats!$AC$44,T22)</f>
        <v>0</v>
      </c>
      <c r="L22" s="430">
        <f>INDEX(TAB,Traitement_resultats!$AC$43,T22)</f>
        <v>0</v>
      </c>
      <c r="M22" s="438">
        <v>0</v>
      </c>
      <c r="N22" s="230"/>
      <c r="O22" s="230"/>
      <c r="P22" s="227"/>
      <c r="Q22" s="227"/>
      <c r="T22" s="385">
        <v>8</v>
      </c>
      <c r="U22" s="385">
        <f t="shared" si="3"/>
        <v>0</v>
      </c>
      <c r="V22" s="385">
        <f t="shared" si="4"/>
        <v>0</v>
      </c>
      <c r="W22" s="385">
        <f t="shared" si="1"/>
        <v>0</v>
      </c>
      <c r="X22" s="385">
        <f>INDEX(TAB,Traitement_resultats!$AC$41,T22)</f>
        <v>0</v>
      </c>
    </row>
    <row r="23" spans="1:24" ht="21" customHeight="1" thickBot="1">
      <c r="A23" s="374" t="s">
        <v>0</v>
      </c>
      <c r="B23" s="375"/>
      <c r="C23" s="376"/>
      <c r="D23" s="376"/>
      <c r="E23" s="377"/>
      <c r="F23" s="422"/>
      <c r="G23" s="362">
        <f>INDEX(TAB,Traitement_resultats!$AC$39,T23)</f>
        <v>0</v>
      </c>
      <c r="H23" s="431" t="str">
        <f>IF(INDEX(TAB,Traitement_resultats!$AC$40,T23)="","-",VLOOKUP((INDEX(TAB,Traitement_resultats!$AC$40,T23)), GEL,2,0))</f>
        <v>-</v>
      </c>
      <c r="I23" s="432">
        <f>INDEX(TAB,Traitement_resultats!$AC$42,T23)</f>
        <v>0</v>
      </c>
      <c r="J23" s="433">
        <f>INDEX(TAB,Traitement_resultats!$AC$45,T23)</f>
        <v>0</v>
      </c>
      <c r="K23" s="434">
        <f>INDEX(TAB,Traitement_resultats!$AC$44,T23)</f>
        <v>0</v>
      </c>
      <c r="L23" s="430">
        <f>INDEX(TAB,Traitement_resultats!$AC$43,T23)</f>
        <v>0</v>
      </c>
      <c r="M23" s="435">
        <v>0</v>
      </c>
      <c r="N23" s="230"/>
      <c r="O23" s="230"/>
      <c r="P23" s="227"/>
      <c r="Q23" s="227"/>
      <c r="T23" s="385">
        <v>7</v>
      </c>
      <c r="U23" s="385">
        <f t="shared" si="3"/>
        <v>0</v>
      </c>
      <c r="V23" s="385">
        <f t="shared" si="4"/>
        <v>0</v>
      </c>
      <c r="W23" s="385">
        <f t="shared" si="1"/>
        <v>0</v>
      </c>
      <c r="X23" s="385">
        <f>INDEX(TAB,Traitement_resultats!$AC$41,T23)</f>
        <v>0</v>
      </c>
    </row>
    <row r="24" spans="1:24" ht="21" customHeight="1" thickBot="1">
      <c r="A24" s="374" t="s">
        <v>793</v>
      </c>
      <c r="B24" s="375"/>
      <c r="C24" s="376"/>
      <c r="D24" s="376"/>
      <c r="E24" s="377"/>
      <c r="F24" s="422"/>
      <c r="G24" s="362">
        <f>INDEX(TAB,Traitement_resultats!$AC$39,T24)</f>
        <v>0</v>
      </c>
      <c r="H24" s="431" t="str">
        <f>IF(INDEX(TAB,Traitement_resultats!$AC$40,T24)="","-",VLOOKUP((INDEX(TAB,Traitement_resultats!$AC$40,T24)), GEL,2,0))</f>
        <v>-</v>
      </c>
      <c r="I24" s="432">
        <f>INDEX(TAB,Traitement_resultats!$AC$42,T24)</f>
        <v>0</v>
      </c>
      <c r="J24" s="433">
        <f>INDEX(TAB,Traitement_resultats!$AC$45,T24)</f>
        <v>0</v>
      </c>
      <c r="K24" s="434">
        <f>INDEX(TAB,Traitement_resultats!$AC$44,T24)</f>
        <v>0</v>
      </c>
      <c r="L24" s="430">
        <f>INDEX(TAB,Traitement_resultats!$AC$43,T24)</f>
        <v>0</v>
      </c>
      <c r="M24" s="436">
        <v>0</v>
      </c>
      <c r="N24" s="230"/>
      <c r="O24" s="230"/>
      <c r="P24" s="227"/>
      <c r="Q24" s="227"/>
      <c r="T24" s="385">
        <v>6</v>
      </c>
      <c r="U24" s="385">
        <f t="shared" si="3"/>
        <v>0</v>
      </c>
      <c r="V24" s="385">
        <f t="shared" si="4"/>
        <v>0</v>
      </c>
      <c r="W24" s="385">
        <f t="shared" si="1"/>
        <v>0</v>
      </c>
      <c r="X24" s="385">
        <f>INDEX(TAB,Traitement_resultats!$AC$41,T24)</f>
        <v>0</v>
      </c>
    </row>
    <row r="25" spans="1:24" ht="21" customHeight="1" thickBot="1">
      <c r="A25" s="374" t="s">
        <v>798</v>
      </c>
      <c r="B25" s="375"/>
      <c r="C25" s="376"/>
      <c r="D25" s="376"/>
      <c r="E25" s="377"/>
      <c r="F25" s="422"/>
      <c r="G25" s="362">
        <f>INDEX(TAB,Traitement_resultats!$AC$39,T25)</f>
        <v>0</v>
      </c>
      <c r="H25" s="431" t="str">
        <f>IF(INDEX(TAB,Traitement_resultats!$AC$40,T25)="","-",VLOOKUP((INDEX(TAB,Traitement_resultats!$AC$40,T25)), GEL,2,0))</f>
        <v>-</v>
      </c>
      <c r="I25" s="432">
        <f>INDEX(TAB,Traitement_resultats!$AC$42,T25)</f>
        <v>0</v>
      </c>
      <c r="J25" s="433">
        <f>INDEX(TAB,Traitement_resultats!$AC$45,T25)</f>
        <v>0</v>
      </c>
      <c r="K25" s="434">
        <f>INDEX(TAB,Traitement_resultats!$AC$44,T25)</f>
        <v>0</v>
      </c>
      <c r="L25" s="430">
        <f>INDEX(TAB,Traitement_resultats!$AC$43,T25)</f>
        <v>0</v>
      </c>
      <c r="M25" s="435">
        <v>0</v>
      </c>
      <c r="N25" s="230"/>
      <c r="O25" s="230"/>
      <c r="P25" s="227"/>
      <c r="Q25" s="227"/>
      <c r="T25" s="385">
        <v>5</v>
      </c>
      <c r="U25" s="385">
        <f t="shared" si="3"/>
        <v>0</v>
      </c>
      <c r="V25" s="385">
        <f t="shared" si="4"/>
        <v>0</v>
      </c>
      <c r="W25" s="385">
        <f t="shared" si="1"/>
        <v>0</v>
      </c>
      <c r="X25" s="385">
        <f>INDEX(TAB,Traitement_resultats!$AC$41,T25)</f>
        <v>0</v>
      </c>
    </row>
    <row r="26" spans="1:24" ht="21" customHeight="1" thickBot="1">
      <c r="A26" s="374" t="s">
        <v>795</v>
      </c>
      <c r="B26" s="375"/>
      <c r="C26" s="376"/>
      <c r="D26" s="376"/>
      <c r="E26" s="377"/>
      <c r="F26" s="422"/>
      <c r="G26" s="362">
        <f>INDEX(TAB,Traitement_resultats!$AC$39,T26)</f>
        <v>0</v>
      </c>
      <c r="H26" s="431" t="str">
        <f>IF(INDEX(TAB,Traitement_resultats!$AC$40,T26)="","-",VLOOKUP((INDEX(TAB,Traitement_resultats!$AC$40,T26)), GEL,2,0))</f>
        <v>-</v>
      </c>
      <c r="I26" s="432">
        <f>INDEX(TAB,Traitement_resultats!$AC$42,T26)</f>
        <v>0</v>
      </c>
      <c r="J26" s="433">
        <f>INDEX(TAB,Traitement_resultats!$AC$45,T26)</f>
        <v>0</v>
      </c>
      <c r="K26" s="434">
        <f>INDEX(TAB,Traitement_resultats!$AC$44,T26)</f>
        <v>0</v>
      </c>
      <c r="L26" s="430">
        <f>INDEX(TAB,Traitement_resultats!$AC$43,T26)</f>
        <v>0</v>
      </c>
      <c r="M26" s="436">
        <v>0</v>
      </c>
      <c r="N26" s="230"/>
      <c r="O26" s="230"/>
      <c r="P26" s="227"/>
      <c r="Q26" s="227"/>
      <c r="T26" s="385">
        <v>4</v>
      </c>
      <c r="U26" s="385">
        <f t="shared" si="3"/>
        <v>0</v>
      </c>
      <c r="V26" s="385">
        <f t="shared" si="4"/>
        <v>0</v>
      </c>
      <c r="W26" s="385">
        <f t="shared" si="1"/>
        <v>0</v>
      </c>
      <c r="X26" s="385">
        <f>INDEX(TAB,Traitement_resultats!$AC$41,T26)</f>
        <v>0</v>
      </c>
    </row>
    <row r="27" spans="1:24" ht="21" customHeight="1" thickBot="1">
      <c r="A27" s="374" t="s">
        <v>691</v>
      </c>
      <c r="B27" s="375"/>
      <c r="C27" s="376"/>
      <c r="D27" s="376"/>
      <c r="E27" s="377"/>
      <c r="F27" s="422"/>
      <c r="G27" s="362">
        <f>INDEX(TAB,Traitement_resultats!$AC$39,T27)</f>
        <v>0</v>
      </c>
      <c r="H27" s="431" t="str">
        <f>IF(INDEX(TAB,Traitement_resultats!$AC$40,T27)="","-",VLOOKUP((INDEX(TAB,Traitement_resultats!$AC$40,T27)), GEL,2,0))</f>
        <v>-</v>
      </c>
      <c r="I27" s="432">
        <f>INDEX(TAB,Traitement_resultats!$AC$42,T27)</f>
        <v>0</v>
      </c>
      <c r="J27" s="433">
        <f>INDEX(TAB,Traitement_resultats!$AC$45,T27)</f>
        <v>0</v>
      </c>
      <c r="K27" s="434">
        <f>INDEX(TAB,Traitement_resultats!$AC$44,T27)</f>
        <v>0</v>
      </c>
      <c r="L27" s="430">
        <f>INDEX(TAB,Traitement_resultats!$AC$43,T27)</f>
        <v>0</v>
      </c>
      <c r="M27" s="438" t="s">
        <v>921</v>
      </c>
      <c r="N27" s="230"/>
      <c r="O27" s="230"/>
      <c r="P27" s="227"/>
      <c r="Q27" s="227"/>
      <c r="T27" s="385">
        <v>3</v>
      </c>
      <c r="U27" s="385">
        <f t="shared" si="3"/>
        <v>0</v>
      </c>
      <c r="V27" s="385">
        <f t="shared" si="4"/>
        <v>0</v>
      </c>
      <c r="W27" s="385">
        <f t="shared" si="1"/>
        <v>0</v>
      </c>
      <c r="X27" s="385">
        <f>INDEX(TAB,Traitement_resultats!$AC$41,T27)</f>
        <v>0</v>
      </c>
    </row>
    <row r="28" spans="1:24" ht="21" customHeight="1" thickBot="1">
      <c r="A28" s="378" t="s">
        <v>802</v>
      </c>
      <c r="B28" s="379"/>
      <c r="C28" s="380"/>
      <c r="D28" s="380"/>
      <c r="E28" s="381"/>
      <c r="F28" s="423"/>
      <c r="G28" s="362">
        <f>INDEX(TAB,Traitement_resultats!$AC$39,T28)</f>
        <v>0</v>
      </c>
      <c r="H28" s="431" t="str">
        <f>IF(INDEX(TAB,Traitement_resultats!$AC$40,T28)=0,"-",VLOOKUP((INDEX(TAB,Traitement_resultats!$AC$40,T28)), GEL,2,0))</f>
        <v>-</v>
      </c>
      <c r="I28" s="432">
        <f>INDEX(TAB,Traitement_resultats!$AC$42,T28)</f>
        <v>0</v>
      </c>
      <c r="J28" s="433">
        <f>INDEX(TAB,Traitement_resultats!$AC$45,T28)</f>
        <v>0</v>
      </c>
      <c r="K28" s="434">
        <f>INDEX(TAB,Traitement_resultats!$AC$44,T28)</f>
        <v>0</v>
      </c>
      <c r="L28" s="430">
        <f>INDEX(TAB,Traitement_resultats!$AC$43,T28)</f>
        <v>0</v>
      </c>
      <c r="M28" s="438">
        <v>0</v>
      </c>
      <c r="N28" s="230"/>
      <c r="O28" s="230"/>
      <c r="P28" s="227"/>
      <c r="Q28" s="227"/>
      <c r="T28" s="385">
        <v>2</v>
      </c>
      <c r="U28" s="385">
        <f>W28+U27</f>
        <v>0</v>
      </c>
      <c r="V28" s="385">
        <f>IF(U28=U27,0,U28)</f>
        <v>0</v>
      </c>
      <c r="W28" s="385">
        <f t="shared" si="1"/>
        <v>0</v>
      </c>
      <c r="X28" s="385">
        <f>INDEX(TAB,Traitement_resultats!$AC$41,T28)</f>
        <v>0</v>
      </c>
    </row>
    <row r="29" spans="1:24" ht="23.25" hidden="1" customHeight="1" thickBot="1">
      <c r="A29" s="1"/>
      <c r="B29" s="13"/>
      <c r="C29" s="13"/>
      <c r="D29" s="13"/>
      <c r="E29" s="1"/>
      <c r="F29" s="1"/>
      <c r="G29" s="1">
        <v>1</v>
      </c>
      <c r="H29" s="326">
        <f>INDEX(TAB,Traitement_resultats!$AC$40,T29)</f>
        <v>0</v>
      </c>
      <c r="I29" s="88">
        <v>1</v>
      </c>
      <c r="J29" s="1">
        <v>1</v>
      </c>
      <c r="K29" s="158">
        <v>1</v>
      </c>
      <c r="L29" s="159">
        <f>INDEX(TAB,Traitement_resultats!$AC$46,T29)</f>
        <v>0</v>
      </c>
      <c r="M29" s="1"/>
      <c r="N29" s="1"/>
      <c r="O29" s="19"/>
      <c r="P29" s="19"/>
      <c r="Q29" s="1"/>
      <c r="R29" s="1"/>
      <c r="T29" s="385"/>
      <c r="U29" s="385"/>
      <c r="V29" s="385"/>
      <c r="W29" s="385"/>
    </row>
    <row r="30" spans="1:24" ht="23.25" hidden="1" customHeight="1">
      <c r="A30" s="1"/>
      <c r="B30" s="13"/>
      <c r="C30" s="13"/>
      <c r="D30" s="13"/>
      <c r="E30" s="1"/>
      <c r="F30" s="1"/>
      <c r="G30" s="1">
        <v>5</v>
      </c>
      <c r="H30" s="282">
        <f>INDEX(TAB,Traitement_resultats!$AC$40,T30)</f>
        <v>0</v>
      </c>
      <c r="I30" s="88">
        <v>3</v>
      </c>
      <c r="J30" s="1">
        <v>3</v>
      </c>
      <c r="K30" s="121">
        <v>3</v>
      </c>
      <c r="L30" s="115">
        <f>INDEX(TAB,Traitement_resultats!$AC$46,T30)</f>
        <v>0</v>
      </c>
      <c r="M30" s="1"/>
      <c r="N30" s="1"/>
      <c r="O30" s="19"/>
      <c r="P30" s="19"/>
      <c r="Q30" s="1"/>
      <c r="R30" s="1"/>
      <c r="T30" s="385"/>
      <c r="U30" s="385"/>
      <c r="V30" s="385"/>
      <c r="W30" s="385"/>
    </row>
    <row r="31" spans="1:24" ht="23.25" customHeight="1" thickBot="1">
      <c r="A31" s="19"/>
      <c r="B31" s="19"/>
      <c r="C31" s="19"/>
      <c r="D31" s="19"/>
      <c r="E31" s="19"/>
      <c r="F31" s="19"/>
      <c r="G31" s="19"/>
      <c r="H31" s="19"/>
      <c r="I31" s="19"/>
      <c r="J31" s="19"/>
      <c r="K31" s="19"/>
      <c r="L31" s="19"/>
      <c r="M31" s="19"/>
      <c r="N31" s="9"/>
      <c r="O31" s="19"/>
      <c r="P31" s="19"/>
      <c r="T31" s="385"/>
      <c r="U31" s="385"/>
      <c r="V31" s="385"/>
      <c r="W31" s="385"/>
    </row>
    <row r="32" spans="1:24" ht="36">
      <c r="A32" s="247" t="s">
        <v>735</v>
      </c>
      <c r="B32" s="679" t="s">
        <v>746</v>
      </c>
      <c r="C32" s="680"/>
      <c r="D32" s="680"/>
      <c r="E32" s="680"/>
      <c r="F32" s="403"/>
      <c r="G32" s="694" t="s">
        <v>736</v>
      </c>
      <c r="H32" s="695"/>
      <c r="I32" s="695"/>
      <c r="J32" s="695"/>
      <c r="K32" s="695"/>
      <c r="L32" s="696"/>
      <c r="O32" s="616" t="s">
        <v>924</v>
      </c>
      <c r="P32" s="617"/>
      <c r="Q32" s="618"/>
    </row>
    <row r="33" spans="1:17" ht="20" customHeight="1">
      <c r="A33" s="651" t="s">
        <v>733</v>
      </c>
      <c r="B33" s="655" t="str">
        <f>IF(Traitement_resultats!AB4=1,"Fournir de l'azote","-")</f>
        <v>Fournir de l'azote</v>
      </c>
      <c r="C33" s="656"/>
      <c r="D33" s="656"/>
      <c r="E33" s="656"/>
      <c r="F33" s="404"/>
      <c r="G33" s="251">
        <v>1</v>
      </c>
      <c r="H33" s="631" t="s">
        <v>292</v>
      </c>
      <c r="I33" s="631"/>
      <c r="J33" s="631"/>
      <c r="K33" s="631"/>
      <c r="L33" s="632"/>
      <c r="O33" s="619"/>
      <c r="P33" s="620"/>
      <c r="Q33" s="621"/>
    </row>
    <row r="34" spans="1:17" ht="20" customHeight="1">
      <c r="A34" s="652"/>
      <c r="B34" s="661" t="str">
        <f>IF(Traitement_resultats!AB5=1,"Limiter les limaces","-")</f>
        <v>-</v>
      </c>
      <c r="C34" s="662"/>
      <c r="D34" s="662"/>
      <c r="E34" s="662"/>
      <c r="F34" s="406"/>
      <c r="G34" s="251">
        <v>2</v>
      </c>
      <c r="H34" s="631" t="s">
        <v>288</v>
      </c>
      <c r="I34" s="631"/>
      <c r="J34" s="631"/>
      <c r="K34" s="631"/>
      <c r="L34" s="632"/>
      <c r="O34" s="619"/>
      <c r="P34" s="620"/>
      <c r="Q34" s="621"/>
    </row>
    <row r="35" spans="1:17" ht="20" customHeight="1">
      <c r="A35" s="652"/>
      <c r="B35" s="663" t="str">
        <f>IF(Traitement_resultats!AB6=1,"Perturber les insectes ravageurs d'automne","-")</f>
        <v>Perturber les insectes ravageurs d'automne</v>
      </c>
      <c r="C35" s="664"/>
      <c r="D35" s="664"/>
      <c r="E35" s="664"/>
      <c r="F35" s="407"/>
      <c r="G35" s="251">
        <v>3</v>
      </c>
      <c r="H35" s="631" t="s">
        <v>288</v>
      </c>
      <c r="I35" s="631"/>
      <c r="J35" s="631"/>
      <c r="K35" s="631"/>
      <c r="L35" s="632"/>
      <c r="O35" s="619"/>
      <c r="P35" s="620"/>
      <c r="Q35" s="621"/>
    </row>
    <row r="36" spans="1:17" ht="20" customHeight="1">
      <c r="A36" s="654" t="s">
        <v>734</v>
      </c>
      <c r="B36" s="665" t="str">
        <f>IF(Traitement_resultats!AB7=1,"Favoriser les insectes auxiliaires","-")</f>
        <v>-</v>
      </c>
      <c r="C36" s="666"/>
      <c r="D36" s="666"/>
      <c r="E36" s="666"/>
      <c r="F36" s="408"/>
      <c r="G36" s="251">
        <v>4</v>
      </c>
      <c r="H36" s="631" t="s">
        <v>288</v>
      </c>
      <c r="I36" s="631"/>
      <c r="J36" s="631"/>
      <c r="K36" s="631"/>
      <c r="L36" s="632"/>
      <c r="O36" s="619"/>
      <c r="P36" s="620"/>
      <c r="Q36" s="621"/>
    </row>
    <row r="37" spans="1:17" ht="20" customHeight="1" thickBot="1">
      <c r="A37" s="654"/>
      <c r="B37" s="669" t="str">
        <f>IF(Traitement_resultats!AB8=1,"Réguler les adventices à l'automne","-")</f>
        <v>Réguler les adventices à l'automne</v>
      </c>
      <c r="C37" s="670"/>
      <c r="D37" s="670"/>
      <c r="E37" s="670"/>
      <c r="F37" s="414"/>
      <c r="G37" s="252">
        <v>5</v>
      </c>
      <c r="H37" s="643" t="s">
        <v>290</v>
      </c>
      <c r="I37" s="643"/>
      <c r="J37" s="643"/>
      <c r="K37" s="643"/>
      <c r="L37" s="644"/>
      <c r="O37" s="619"/>
      <c r="P37" s="620"/>
      <c r="Q37" s="621"/>
    </row>
    <row r="38" spans="1:17" ht="20" customHeight="1">
      <c r="A38" s="654"/>
      <c r="B38" s="657" t="str">
        <f>IF(Traitement_resultats!AB9=1,"Réguler les adventices au printemps","-")</f>
        <v>-</v>
      </c>
      <c r="C38" s="658"/>
      <c r="D38" s="658"/>
      <c r="E38" s="658"/>
      <c r="F38" s="415"/>
      <c r="G38" s="640" t="s">
        <v>747</v>
      </c>
      <c r="H38" s="641"/>
      <c r="I38" s="641"/>
      <c r="J38" s="641"/>
      <c r="K38" s="641"/>
      <c r="L38" s="642"/>
      <c r="O38" s="619"/>
      <c r="P38" s="620"/>
      <c r="Q38" s="621"/>
    </row>
    <row r="39" spans="1:17" ht="20" customHeight="1">
      <c r="A39" s="654"/>
      <c r="B39" s="659" t="str">
        <f>IF(Traitement_resultats!AB10=1,"Réguler l'Orobanche rameuse","-")</f>
        <v>-</v>
      </c>
      <c r="C39" s="660"/>
      <c r="D39" s="660"/>
      <c r="E39" s="660"/>
      <c r="F39" s="405"/>
      <c r="G39" s="253">
        <v>1</v>
      </c>
      <c r="H39" s="625" t="s">
        <v>287</v>
      </c>
      <c r="I39" s="626"/>
      <c r="J39" s="626"/>
      <c r="K39" s="626"/>
      <c r="L39" s="627"/>
      <c r="O39" s="619"/>
      <c r="P39" s="620"/>
      <c r="Q39" s="621"/>
    </row>
    <row r="40" spans="1:17" ht="20" customHeight="1">
      <c r="A40" s="652" t="s">
        <v>703</v>
      </c>
      <c r="B40" s="667" t="str">
        <f>IF(Traitement_resultats!AB11=1,"Récolter la plante de service à l'automne","-")</f>
        <v>-</v>
      </c>
      <c r="C40" s="668"/>
      <c r="D40" s="668"/>
      <c r="E40" s="668"/>
      <c r="F40" s="409"/>
      <c r="G40" s="253">
        <v>2</v>
      </c>
      <c r="H40" s="625" t="s">
        <v>288</v>
      </c>
      <c r="I40" s="626"/>
      <c r="J40" s="626"/>
      <c r="K40" s="626"/>
      <c r="L40" s="627"/>
      <c r="O40" s="619"/>
      <c r="P40" s="620"/>
      <c r="Q40" s="621"/>
    </row>
    <row r="41" spans="1:17" ht="20" customHeight="1" thickBot="1">
      <c r="A41" s="652"/>
      <c r="B41" s="649" t="str">
        <f>IF(Traitement_resultats!AB12=1,"Récolter la plante de service avec le colza","-")</f>
        <v>-</v>
      </c>
      <c r="C41" s="650"/>
      <c r="D41" s="650"/>
      <c r="E41" s="650"/>
      <c r="F41" s="416"/>
      <c r="G41" s="254">
        <v>3</v>
      </c>
      <c r="H41" s="628" t="s">
        <v>289</v>
      </c>
      <c r="I41" s="629"/>
      <c r="J41" s="629"/>
      <c r="K41" s="629"/>
      <c r="L41" s="630"/>
      <c r="O41" s="619"/>
      <c r="P41" s="620"/>
      <c r="Q41" s="621"/>
    </row>
    <row r="42" spans="1:17" ht="20" customHeight="1" thickBot="1">
      <c r="A42" s="653"/>
      <c r="B42" s="645" t="str">
        <f>IF(Traitement_resultats!AB13=1,"Couverture permanente, récolte de la plante de servce en fourrage","-")</f>
        <v>-</v>
      </c>
      <c r="C42" s="646"/>
      <c r="D42" s="646"/>
      <c r="E42" s="646"/>
      <c r="F42" s="417"/>
      <c r="G42" s="637" t="s">
        <v>706</v>
      </c>
      <c r="H42" s="638"/>
      <c r="I42" s="638"/>
      <c r="J42" s="638"/>
      <c r="K42" s="638"/>
      <c r="L42" s="639"/>
      <c r="O42" s="619"/>
      <c r="P42" s="620"/>
      <c r="Q42" s="621"/>
    </row>
    <row r="43" spans="1:17" ht="21" customHeight="1">
      <c r="A43" s="280"/>
      <c r="B43" s="281"/>
      <c r="C43" s="280"/>
      <c r="G43" s="251">
        <v>1</v>
      </c>
      <c r="H43" s="635" t="s">
        <v>704</v>
      </c>
      <c r="I43" s="635"/>
      <c r="J43" s="635"/>
      <c r="K43" s="635"/>
      <c r="L43" s="636"/>
      <c r="O43" s="619"/>
      <c r="P43" s="620"/>
      <c r="Q43" s="621"/>
    </row>
    <row r="44" spans="1:17" ht="21" customHeight="1">
      <c r="A44" s="280"/>
      <c r="B44" s="280"/>
      <c r="C44" s="280"/>
      <c r="G44" s="251">
        <v>2</v>
      </c>
      <c r="H44" s="633" t="s">
        <v>288</v>
      </c>
      <c r="I44" s="633"/>
      <c r="J44" s="633"/>
      <c r="K44" s="633"/>
      <c r="L44" s="634"/>
      <c r="O44" s="619"/>
      <c r="P44" s="620"/>
      <c r="Q44" s="621"/>
    </row>
    <row r="45" spans="1:17" ht="21" customHeight="1" thickBot="1">
      <c r="A45" s="280"/>
      <c r="B45" s="280"/>
      <c r="C45" s="280"/>
      <c r="G45" s="255">
        <v>3</v>
      </c>
      <c r="H45" s="614" t="s">
        <v>705</v>
      </c>
      <c r="I45" s="614"/>
      <c r="J45" s="614"/>
      <c r="K45" s="614"/>
      <c r="L45" s="615"/>
      <c r="O45" s="622"/>
      <c r="P45" s="623"/>
      <c r="Q45" s="624"/>
    </row>
    <row r="46" spans="1:17">
      <c r="A46" s="280"/>
      <c r="B46" s="280"/>
      <c r="C46" s="280"/>
      <c r="G46" s="84" t="s">
        <v>707</v>
      </c>
    </row>
    <row r="47" spans="1:17">
      <c r="A47" s="280"/>
      <c r="B47" s="280"/>
      <c r="C47" s="280"/>
    </row>
    <row r="48" spans="1:17">
      <c r="A48" s="280"/>
      <c r="B48" s="280"/>
      <c r="C48" s="280"/>
    </row>
    <row r="49" spans="1:19">
      <c r="A49" s="280"/>
      <c r="B49" s="280"/>
      <c r="C49" s="280"/>
    </row>
    <row r="50" spans="1:19">
      <c r="A50" s="280"/>
      <c r="B50" s="280"/>
      <c r="C50" s="280"/>
      <c r="S50" s="227"/>
    </row>
    <row r="51" spans="1:19">
      <c r="A51" s="280"/>
      <c r="B51" s="280"/>
      <c r="C51" s="280"/>
      <c r="S51" s="227"/>
    </row>
    <row r="52" spans="1:19">
      <c r="A52" s="280"/>
      <c r="B52" s="280"/>
      <c r="C52" s="280"/>
    </row>
    <row r="53" spans="1:19">
      <c r="A53" s="280"/>
      <c r="B53" s="280"/>
      <c r="C53" s="280"/>
      <c r="S53" s="227"/>
    </row>
    <row r="54" spans="1:19">
      <c r="S54" s="227"/>
    </row>
    <row r="55" spans="1:19">
      <c r="P55" s="84">
        <v>3</v>
      </c>
      <c r="Q55" s="84">
        <f>VLOOKUP(P55,RDD_Destruction_sortie_hiver,3)</f>
        <v>0</v>
      </c>
      <c r="S55" s="227"/>
    </row>
    <row r="56" spans="1:19">
      <c r="P56" s="84">
        <v>2</v>
      </c>
      <c r="S56" s="227"/>
    </row>
    <row r="57" spans="1:19">
      <c r="P57" s="84">
        <v>1</v>
      </c>
      <c r="S57" s="227"/>
    </row>
    <row r="58" spans="1:19">
      <c r="S58" s="227"/>
    </row>
    <row r="59" spans="1:19">
      <c r="S59" s="227"/>
    </row>
    <row r="60" spans="1:19">
      <c r="S60" s="227"/>
    </row>
    <row r="61" spans="1:19">
      <c r="S61" s="227"/>
    </row>
    <row r="62" spans="1:19">
      <c r="S62" s="227"/>
    </row>
    <row r="63" spans="1:19">
      <c r="S63" s="227"/>
    </row>
    <row r="64" spans="1:19">
      <c r="S64" s="227"/>
    </row>
    <row r="65" spans="7:19">
      <c r="S65" s="227"/>
    </row>
    <row r="67" spans="7:19" hidden="1">
      <c r="G67" s="84">
        <v>1</v>
      </c>
      <c r="H67" s="84" t="s">
        <v>918</v>
      </c>
    </row>
    <row r="68" spans="7:19" hidden="1">
      <c r="G68" s="84">
        <v>2</v>
      </c>
      <c r="H68" s="84" t="s">
        <v>919</v>
      </c>
    </row>
    <row r="69" spans="7:19" hidden="1">
      <c r="G69" s="84">
        <v>3</v>
      </c>
      <c r="H69" s="84" t="s">
        <v>920</v>
      </c>
    </row>
  </sheetData>
  <sheetProtection password="CDF2" sheet="1" objects="1" scenarios="1" selectLockedCells="1"/>
  <mergeCells count="44">
    <mergeCell ref="O13:P13"/>
    <mergeCell ref="O14:P14"/>
    <mergeCell ref="B2:E2"/>
    <mergeCell ref="J1:N1"/>
    <mergeCell ref="B32:E32"/>
    <mergeCell ref="O3:Q3"/>
    <mergeCell ref="O8:Q9"/>
    <mergeCell ref="O6:P6"/>
    <mergeCell ref="O15:P15"/>
    <mergeCell ref="G32:L32"/>
    <mergeCell ref="O10:P10"/>
    <mergeCell ref="O4:Q5"/>
    <mergeCell ref="O7:Q7"/>
    <mergeCell ref="O12:P12"/>
    <mergeCell ref="O17:Q19"/>
    <mergeCell ref="H1:I1"/>
    <mergeCell ref="B42:E42"/>
    <mergeCell ref="A1:E1"/>
    <mergeCell ref="B41:E41"/>
    <mergeCell ref="A33:A35"/>
    <mergeCell ref="A40:A42"/>
    <mergeCell ref="A36:A39"/>
    <mergeCell ref="B33:E33"/>
    <mergeCell ref="B38:E38"/>
    <mergeCell ref="B39:E39"/>
    <mergeCell ref="B34:E34"/>
    <mergeCell ref="B35:E35"/>
    <mergeCell ref="B36:E36"/>
    <mergeCell ref="B40:E40"/>
    <mergeCell ref="B37:E37"/>
    <mergeCell ref="H45:L45"/>
    <mergeCell ref="O32:Q45"/>
    <mergeCell ref="H40:L40"/>
    <mergeCell ref="H41:L41"/>
    <mergeCell ref="H39:L39"/>
    <mergeCell ref="H35:L35"/>
    <mergeCell ref="H44:L44"/>
    <mergeCell ref="H43:L43"/>
    <mergeCell ref="G42:L42"/>
    <mergeCell ref="G38:L38"/>
    <mergeCell ref="H37:L37"/>
    <mergeCell ref="H33:L33"/>
    <mergeCell ref="H34:L34"/>
    <mergeCell ref="H36:L36"/>
  </mergeCells>
  <conditionalFormatting sqref="G33:G37">
    <cfRule type="iconSet" priority="74">
      <iconSet iconSet="5Quarters">
        <cfvo type="percent" val="0"/>
        <cfvo type="percent" val="20"/>
        <cfvo type="percent" val="40"/>
        <cfvo type="percent" val="60"/>
        <cfvo type="percent" val="80"/>
      </iconSet>
    </cfRule>
  </conditionalFormatting>
  <conditionalFormatting sqref="G39:G41">
    <cfRule type="colorScale" priority="70">
      <colorScale>
        <cfvo type="min"/>
        <cfvo type="max"/>
        <color theme="4" tint="0.79998168889431442"/>
        <color theme="8"/>
      </colorScale>
    </cfRule>
  </conditionalFormatting>
  <conditionalFormatting sqref="G43:G45">
    <cfRule type="iconSet" priority="12">
      <iconSet iconSet="3Flags">
        <cfvo type="percent" val="0"/>
        <cfvo type="percent" val="33"/>
        <cfvo type="percent" val="67"/>
      </iconSet>
    </cfRule>
  </conditionalFormatting>
  <conditionalFormatting sqref="H29:I30 H3:H28">
    <cfRule type="colorScale" priority="97">
      <colorScale>
        <cfvo type="min"/>
        <cfvo type="max"/>
        <color theme="4" tint="0.79998168889431442"/>
        <color theme="8"/>
      </colorScale>
    </cfRule>
  </conditionalFormatting>
  <conditionalFormatting sqref="Q10">
    <cfRule type="containsText" dxfId="29" priority="46" operator="containsText" text="Moyenne">
      <formula>NOT(ISERROR(SEARCH("Moyenne",Q10)))</formula>
    </cfRule>
    <cfRule type="containsText" dxfId="28" priority="47" operator="containsText" text="Forte">
      <formula>NOT(ISERROR(SEARCH("Forte",Q10)))</formula>
    </cfRule>
    <cfRule type="containsText" dxfId="27" priority="48" operator="containsText" text="Faible">
      <formula>NOT(ISERROR(SEARCH("Faible",Q10)))</formula>
    </cfRule>
  </conditionalFormatting>
  <conditionalFormatting sqref="A33">
    <cfRule type="colorScale" priority="38">
      <colorScale>
        <cfvo type="min"/>
        <cfvo type="percentile" val="50"/>
        <cfvo type="max"/>
        <color rgb="FFF8696B"/>
        <color rgb="FFFCFCFF"/>
        <color rgb="FF63BE7B"/>
      </colorScale>
    </cfRule>
  </conditionalFormatting>
  <conditionalFormatting sqref="A36">
    <cfRule type="colorScale" priority="37">
      <colorScale>
        <cfvo type="min"/>
        <cfvo type="percentile" val="50"/>
        <cfvo type="max"/>
        <color rgb="FFF8696B"/>
        <color rgb="FFFFEB84"/>
        <color rgb="FF63BE7B"/>
      </colorScale>
    </cfRule>
  </conditionalFormatting>
  <conditionalFormatting sqref="A33 A36">
    <cfRule type="colorScale" priority="104">
      <colorScale>
        <cfvo type="min"/>
        <cfvo type="percentile" val="50"/>
        <cfvo type="max"/>
        <color rgb="FFF8696B"/>
        <color rgb="FFFFEB84"/>
        <color rgb="FF63BE7B"/>
      </colorScale>
    </cfRule>
  </conditionalFormatting>
  <conditionalFormatting sqref="A33:A35">
    <cfRule type="containsText" dxfId="26" priority="35" operator="containsText" text="très">
      <formula>NOT(ISERROR(SEARCH("très",A33)))</formula>
    </cfRule>
  </conditionalFormatting>
  <conditionalFormatting sqref="A36:A39">
    <cfRule type="containsText" dxfId="25" priority="34" operator="containsText" text="moyennement">
      <formula>NOT(ISERROR(SEARCH("moyennement",A36)))</formula>
    </cfRule>
  </conditionalFormatting>
  <conditionalFormatting sqref="A40:A42">
    <cfRule type="containsText" dxfId="24" priority="33" operator="containsText" text="faiblement">
      <formula>NOT(ISERROR(SEARCH("faiblement",A40)))</formula>
    </cfRule>
  </conditionalFormatting>
  <conditionalFormatting sqref="I3:I28">
    <cfRule type="expression" dxfId="23" priority="127" stopIfTrue="1">
      <formula>NOT(ISERROR(SEARCH("Phoma",I3)))</formula>
    </cfRule>
    <cfRule type="expression" dxfId="22" priority="128" stopIfTrue="1">
      <formula>NOT(ISERROR(SEARCH("Aphano",I3)))</formula>
    </cfRule>
    <cfRule type="expression" dxfId="21" priority="129" stopIfTrue="1">
      <formula>NOT(ISERROR(SEARCH("Sclerot",I3)))</formula>
    </cfRule>
  </conditionalFormatting>
  <conditionalFormatting sqref="Q12">
    <cfRule type="containsText" dxfId="20" priority="24" operator="containsText" text="Moyenne">
      <formula>NOT(ISERROR(SEARCH("Moyenne",Q12)))</formula>
    </cfRule>
    <cfRule type="containsText" dxfId="19" priority="25" operator="containsText" text="Forte">
      <formula>NOT(ISERROR(SEARCH("Forte",Q12)))</formula>
    </cfRule>
    <cfRule type="containsText" dxfId="18" priority="26" operator="containsText" text="Faible">
      <formula>NOT(ISERROR(SEARCH("Faible",Q12)))</formula>
    </cfRule>
  </conditionalFormatting>
  <conditionalFormatting sqref="Q13">
    <cfRule type="containsText" dxfId="17" priority="21" operator="containsText" text="Moyenne">
      <formula>NOT(ISERROR(SEARCH("Moyenne",Q13)))</formula>
    </cfRule>
    <cfRule type="containsText" dxfId="16" priority="22" operator="containsText" text="Forte">
      <formula>NOT(ISERROR(SEARCH("Forte",Q13)))</formula>
    </cfRule>
    <cfRule type="containsText" dxfId="15" priority="23" operator="containsText" text="Faible">
      <formula>NOT(ISERROR(SEARCH("Faible",Q13)))</formula>
    </cfRule>
  </conditionalFormatting>
  <conditionalFormatting sqref="Q14">
    <cfRule type="containsText" dxfId="14" priority="18" operator="containsText" text="Moyenne">
      <formula>NOT(ISERROR(SEARCH("Moyenne",Q14)))</formula>
    </cfRule>
    <cfRule type="containsText" dxfId="13" priority="19" operator="containsText" text="Forte">
      <formula>NOT(ISERROR(SEARCH("Forte",Q14)))</formula>
    </cfRule>
    <cfRule type="containsText" dxfId="12" priority="20" operator="containsText" text="Faible">
      <formula>NOT(ISERROR(SEARCH("Faible",Q14)))</formula>
    </cfRule>
  </conditionalFormatting>
  <conditionalFormatting sqref="Q15">
    <cfRule type="containsText" dxfId="11" priority="15" operator="containsText" text="Moyenne">
      <formula>NOT(ISERROR(SEARCH("Moyenne",Q15)))</formula>
    </cfRule>
    <cfRule type="containsText" dxfId="10" priority="16" operator="containsText" text="Forte">
      <formula>NOT(ISERROR(SEARCH("Forte",Q15)))</formula>
    </cfRule>
    <cfRule type="containsText" dxfId="9" priority="17" operator="containsText" text="Faible">
      <formula>NOT(ISERROR(SEARCH("Faible",Q15)))</formula>
    </cfRule>
  </conditionalFormatting>
  <conditionalFormatting sqref="A3:A28">
    <cfRule type="expression" dxfId="8" priority="118">
      <formula>$X3&gt;=5</formula>
    </cfRule>
    <cfRule type="expression" dxfId="7" priority="119">
      <formula>$X3&lt;3</formula>
    </cfRule>
    <cfRule type="expression" dxfId="6" priority="120">
      <formula>AND($X3&gt;=3,$X3&lt;5)</formula>
    </cfRule>
  </conditionalFormatting>
  <conditionalFormatting sqref="Q6">
    <cfRule type="cellIs" dxfId="5" priority="7" operator="between">
      <formula>0.8</formula>
      <formula>1.2</formula>
    </cfRule>
    <cfRule type="cellIs" dxfId="4" priority="8" operator="lessThan">
      <formula>0.8</formula>
    </cfRule>
    <cfRule type="cellIs" dxfId="3" priority="9" operator="greaterThan">
      <formula>1.2</formula>
    </cfRule>
  </conditionalFormatting>
  <conditionalFormatting sqref="A69:A75">
    <cfRule type="iconSet" priority="5">
      <iconSet>
        <cfvo type="percent" val="0"/>
        <cfvo type="percent" val="33"/>
        <cfvo type="percent" val="67"/>
      </iconSet>
    </cfRule>
  </conditionalFormatting>
  <conditionalFormatting sqref="G3:G30">
    <cfRule type="iconSet" priority="130">
      <iconSet iconSet="5Quarters">
        <cfvo type="percent" val="0"/>
        <cfvo type="percent" val="20"/>
        <cfvo type="percent" val="40"/>
        <cfvo type="percent" val="60"/>
        <cfvo type="percent" val="80"/>
      </iconSet>
    </cfRule>
  </conditionalFormatting>
  <conditionalFormatting sqref="J3:J30">
    <cfRule type="iconSet" priority="147">
      <iconSet iconSet="3Flags">
        <cfvo type="percent" val="0"/>
        <cfvo type="percent" val="33"/>
        <cfvo type="percent" val="67"/>
      </iconSet>
    </cfRule>
  </conditionalFormatting>
  <conditionalFormatting sqref="H3:H28">
    <cfRule type="containsText" dxfId="2" priority="1" operator="containsText" text="forte">
      <formula>NOT(ISERROR(SEARCH("forte",H3)))</formula>
    </cfRule>
    <cfRule type="containsText" dxfId="1" priority="2" operator="containsText" text="moyenne">
      <formula>NOT(ISERROR(SEARCH("moyenne",H3)))</formula>
    </cfRule>
    <cfRule type="containsText" dxfId="0" priority="3" operator="containsText" text="faible">
      <formula>NOT(ISERROR(SEARCH("faible",H3)))</formula>
    </cfRule>
  </conditionalFormatting>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13</vt:i4>
      </vt:variant>
    </vt:vector>
  </HeadingPairs>
  <TitlesOfParts>
    <vt:vector size="13" baseType="lpstr">
      <vt:lpstr>Mode d'emploi </vt:lpstr>
      <vt:lpstr>Associer son colza</vt:lpstr>
      <vt:lpstr>Données à renseigner</vt:lpstr>
      <vt:lpstr>Services à renseigner</vt:lpstr>
      <vt:lpstr>Evaluation</vt:lpstr>
      <vt:lpstr>RDD</vt:lpstr>
      <vt:lpstr>Menus déroulants</vt:lpstr>
      <vt:lpstr>Espèces</vt:lpstr>
      <vt:lpstr>Resultats</vt:lpstr>
      <vt:lpstr>Traitement_resultats</vt:lpstr>
      <vt:lpstr>Exporter</vt:lpstr>
      <vt:lpstr>Melange</vt:lpstr>
      <vt:lpstr>Votre avis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Laurie Dunn</dc:creator>
  <cp:lastModifiedBy>Valentin Verret</cp:lastModifiedBy>
  <cp:lastPrinted>2017-02-23T13:24:12Z</cp:lastPrinted>
  <dcterms:created xsi:type="dcterms:W3CDTF">2017-01-27T16:30:53Z</dcterms:created>
  <dcterms:modified xsi:type="dcterms:W3CDTF">2018-04-10T14:48:12Z</dcterms:modified>
</cp:coreProperties>
</file>